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05" windowHeight="11640" tabRatio="607" activeTab="1"/>
  </bookViews>
  <sheets>
    <sheet name="Introduction" sheetId="1" r:id="rId1"/>
    <sheet name="1. Sizing WorkSheet" sheetId="2" r:id="rId2"/>
    <sheet name="2. COCOMO" sheetId="3" r:id="rId3"/>
    <sheet name="3. Phase Breakdown" sheetId="4" r:id="rId4"/>
    <sheet name="HELP - Rating System" sheetId="5" r:id="rId5"/>
    <sheet name="PARAMETERS" sheetId="6" r:id="rId6"/>
    <sheet name="Articles" sheetId="7" r:id="rId7"/>
  </sheets>
  <definedNames>
    <definedName name="DMODE">'2. COCOMO'!$K$28</definedName>
  </definedNames>
  <calcPr fullCalcOnLoad="1"/>
</workbook>
</file>

<file path=xl/sharedStrings.xml><?xml version="1.0" encoding="utf-8"?>
<sst xmlns="http://schemas.openxmlformats.org/spreadsheetml/2006/main" count="539" uniqueCount="296">
  <si>
    <t>Introduction to the COCOMO Software Estimation Spreadsheet</t>
  </si>
  <si>
    <t>By: Stuart Williams</t>
  </si>
  <si>
    <t>COCOMO What is it?</t>
  </si>
  <si>
    <t>CO-nstructive CO-st MO-del</t>
  </si>
  <si>
    <t>COCOMO is the software costing system developed by Berry Boehm of TRW.</t>
  </si>
  <si>
    <t>It is detailed in the book:</t>
  </si>
  <si>
    <t>Boehm, Barry "Software Engineering Economics", Prentice Hall 1981</t>
  </si>
  <si>
    <t>For all intents and purposes it is still considered the state of the art methodology.</t>
  </si>
  <si>
    <t>What has changed in the method here to adopt this technique to small to medium C/S Projects?</t>
  </si>
  <si>
    <t>1. The sizing worksheet relates C/S building blocks to Lines of code (LOC)</t>
  </si>
  <si>
    <t>2. The definitions of some of the RATINGS have been changed to serve in the C/S environment</t>
  </si>
  <si>
    <t>3. The Phase Breakdowns have been adjusted to a RAD/JAD environment.</t>
  </si>
  <si>
    <t>What needs to be done to maintain the model so that it predicts accurately?</t>
  </si>
  <si>
    <t>1. Tracking of time spent (in hours) by SDLC phase for each module.</t>
  </si>
  <si>
    <t>2. Adjustment of constants (in BLUE) on sizing to reflect the power of the development environment used.</t>
  </si>
  <si>
    <t>3. Recomputation of projects until actuals match computeds.</t>
  </si>
  <si>
    <t>4. Repeat until we get +/- 5-10% accuracy.</t>
  </si>
  <si>
    <t>How Do I use it?</t>
  </si>
  <si>
    <t>1. Sizing Worksheet, list out the major modules (combining to get down to 10), fill in sizing criteria</t>
  </si>
  <si>
    <t>2. COCOMO (CLEF) adjust RATINGS as needed</t>
  </si>
  <si>
    <t>3. Inspect the Phase Breakdown</t>
  </si>
  <si>
    <t>Project:</t>
  </si>
  <si>
    <t>For:</t>
  </si>
  <si>
    <t>Reports</t>
  </si>
  <si>
    <t>CODE</t>
  </si>
  <si>
    <t>Total LOC</t>
  </si>
  <si>
    <t>ESDI</t>
  </si>
  <si>
    <t>Module/Component</t>
  </si>
  <si>
    <t>A.</t>
  </si>
  <si>
    <t>Start by getting an estimated number of lines-of-code (LOC) by using the scaling factors listed above.</t>
  </si>
  <si>
    <t>1. Fill in the module/component names</t>
  </si>
  <si>
    <t>2. or each list how many (if any) Forms, Reports, etc there are</t>
  </si>
  <si>
    <t>3. The total LOC factor will be calculated for you</t>
  </si>
  <si>
    <t>4. This is then turned into ESDI (Estimated LOC in 1000s)</t>
  </si>
  <si>
    <t>5. Then proceed to the COCOMO Sheet (Notice that the values are automatically transferred for you)</t>
  </si>
  <si>
    <t>RATINGS</t>
  </si>
  <si>
    <t>(See 'HELP - Ratings System' Tab For Explanation)</t>
  </si>
  <si>
    <t>EDSI Estimated Thousands of Lines of Code</t>
  </si>
  <si>
    <t>How Much Do We Have To Create New</t>
  </si>
  <si>
    <t>RELY</t>
  </si>
  <si>
    <t>DATA</t>
  </si>
  <si>
    <t>CPLX</t>
  </si>
  <si>
    <t>TIME</t>
  </si>
  <si>
    <t>STOR</t>
  </si>
  <si>
    <t>VIRT</t>
  </si>
  <si>
    <t>TURN</t>
  </si>
  <si>
    <t>ACAP</t>
  </si>
  <si>
    <t>AEXP</t>
  </si>
  <si>
    <t>PCAP</t>
  </si>
  <si>
    <t>VEXP</t>
  </si>
  <si>
    <t>LEXP</t>
  </si>
  <si>
    <t>MODP</t>
  </si>
  <si>
    <t>SCED</t>
  </si>
  <si>
    <t>EAF: Effort adjustment Factor</t>
  </si>
  <si>
    <t>PM (Nom) Person Months Nominal</t>
  </si>
  <si>
    <t>PMA: Person Months Adjusted</t>
  </si>
  <si>
    <t>Productivity: PMA/EDSI</t>
  </si>
  <si>
    <t>NM</t>
  </si>
  <si>
    <t>Total EDSI</t>
  </si>
  <si>
    <t>14a,b.</t>
  </si>
  <si>
    <t>Totals</t>
  </si>
  <si>
    <t>(PM) Nom</t>
  </si>
  <si>
    <t>Development Mode:</t>
  </si>
  <si>
    <t>15.</t>
  </si>
  <si>
    <t>Schedule (mos)</t>
  </si>
  <si>
    <t>(EDSI/PM) Nom</t>
  </si>
  <si>
    <t>Pick 1-3</t>
  </si>
  <si>
    <t>B.</t>
  </si>
  <si>
    <t>The transferred modules and sizes appear on this FORM</t>
  </si>
  <si>
    <t>1. Notice the Estimated numbers summarized in lines 11-13 (This is considering all things being equal)</t>
  </si>
  <si>
    <t>2. Now for each of the modules/components, For each of the factors Choose from the Following list</t>
  </si>
  <si>
    <t>VL</t>
  </si>
  <si>
    <t>LO</t>
  </si>
  <si>
    <t>HI</t>
  </si>
  <si>
    <t>VH</t>
  </si>
  <si>
    <t>XH</t>
  </si>
  <si>
    <t xml:space="preserve">   IF you are not sure or need guidance see the 'Rating System Tab', when in doubt leave it as 'NM' (Nominal)</t>
  </si>
  <si>
    <t>3. Note that as you change ratings the calculated schedule changes as well.</t>
  </si>
  <si>
    <t>5. Finally note the Totals 14a = Total Number of Person Months (Effort), 14b=Productivity, 15=Schedule in Months</t>
  </si>
  <si>
    <t>COCOMO Phase Distribution</t>
  </si>
  <si>
    <t>Months</t>
  </si>
  <si>
    <t>Weeks</t>
  </si>
  <si>
    <t>Days</t>
  </si>
  <si>
    <t>Hours</t>
  </si>
  <si>
    <t>&lt;-- Units</t>
  </si>
  <si>
    <t>&lt;-- Per Previous Measure</t>
  </si>
  <si>
    <t>SDLC Phase</t>
  </si>
  <si>
    <t>Schedule</t>
  </si>
  <si>
    <t>&lt;-- Month Divided by…</t>
  </si>
  <si>
    <t>Investigation</t>
  </si>
  <si>
    <t>* Not included in Total</t>
  </si>
  <si>
    <t>Analysis</t>
  </si>
  <si>
    <t xml:space="preserve"> </t>
  </si>
  <si>
    <t>Notice Investigation Time Can be Calculated, but does not factor into estimated Schedule (COCOMO Starts at Analysis Phase)</t>
  </si>
  <si>
    <t>C. Estimate the DURATION of each phase (Approx)</t>
  </si>
  <si>
    <t>TABLE 8-3 Software Cost Driver Ratings, Page 119</t>
  </si>
  <si>
    <t>Ratings</t>
  </si>
  <si>
    <t>Cost Drivers</t>
  </si>
  <si>
    <t>Very Low</t>
  </si>
  <si>
    <t>Low</t>
  </si>
  <si>
    <t>Nominal</t>
  </si>
  <si>
    <t>High</t>
  </si>
  <si>
    <t>Very High</t>
  </si>
  <si>
    <t>Extra High</t>
  </si>
  <si>
    <t>Code</t>
  </si>
  <si>
    <t>Effect: slight in convenience</t>
  </si>
  <si>
    <t>Low, easily recoverable losses</t>
  </si>
  <si>
    <t>Moderate, recover able losses</t>
  </si>
  <si>
    <t>High financial loss</t>
  </si>
  <si>
    <t>Risk to human life</t>
  </si>
  <si>
    <t>No Data</t>
  </si>
  <si>
    <t>Text or INI Based Data</t>
  </si>
  <si>
    <t>DB</t>
  </si>
  <si>
    <t>DB with complex relationships and or overlapping views</t>
  </si>
  <si>
    <t>DB with complex relationships and or overlapping views in &lt; interactive time</t>
  </si>
  <si>
    <t>Single Form Apps Obvious Functions (control Panel)</t>
  </si>
  <si>
    <t>Single Form Apps complex functions (Utilities)</t>
  </si>
  <si>
    <t>Multiple forms single threaded, single user</t>
  </si>
  <si>
    <t>Multiple forms, multi threaded or multi-user</t>
  </si>
  <si>
    <t>Both threaded and multiuser with large complex functionality or embedded in or used to control hardware</t>
  </si>
  <si>
    <t xml:space="preserve">Critical software control systems like O/S. </t>
  </si>
  <si>
    <t>&lt;50% use of CPU</t>
  </si>
  <si>
    <t>&lt;50% use of DISK or disk storage is not a factor</t>
  </si>
  <si>
    <t>70%, disk space limited</t>
  </si>
  <si>
    <t>85%, disk space limited</t>
  </si>
  <si>
    <t>Major change every 12 months, minor: 1 month interactive</t>
  </si>
  <si>
    <t>Major: 6 mos Minor: 2 weeks</t>
  </si>
  <si>
    <t>Major: 2 mosMinor: 1 Week</t>
  </si>
  <si>
    <t>Major: 2 weeks Minor: 2 days</t>
  </si>
  <si>
    <t>Interactive</t>
  </si>
  <si>
    <t>&lt;4hrs</t>
  </si>
  <si>
    <t>4-12 Hours</t>
  </si>
  <si>
    <t>&gt;12 hours</t>
  </si>
  <si>
    <t>15th %</t>
  </si>
  <si>
    <t>35th %</t>
  </si>
  <si>
    <t>55th %</t>
  </si>
  <si>
    <t>75th %</t>
  </si>
  <si>
    <t>90th %</t>
  </si>
  <si>
    <t>&lt; 4 months</t>
  </si>
  <si>
    <t>1 year</t>
  </si>
  <si>
    <t>3 years</t>
  </si>
  <si>
    <t>6 years</t>
  </si>
  <si>
    <t>12 years</t>
  </si>
  <si>
    <t>&lt; 1 MO</t>
  </si>
  <si>
    <t>4 months</t>
  </si>
  <si>
    <t>No Use</t>
  </si>
  <si>
    <t>Beginning Use</t>
  </si>
  <si>
    <t>Some Use</t>
  </si>
  <si>
    <t>General Use</t>
  </si>
  <si>
    <t>Routine Use</t>
  </si>
  <si>
    <t>TOOL</t>
  </si>
  <si>
    <t>Little Tools</t>
  </si>
  <si>
    <t>2 GL</t>
  </si>
  <si>
    <t>3 GL with full IDE and Debugging facilities</t>
  </si>
  <si>
    <t>4GL or 3+GL with component or object templates or premade component pieces</t>
  </si>
  <si>
    <t>Additional Project Management Tools</t>
  </si>
  <si>
    <t>SCHED</t>
  </si>
  <si>
    <t>70% Nom</t>
  </si>
  <si>
    <t>These are GENERAL Guidelines Only.</t>
  </si>
  <si>
    <t>COCOMO Modifiers P.118</t>
  </si>
  <si>
    <t>Product attributes</t>
  </si>
  <si>
    <t>Required Software Reliability</t>
  </si>
  <si>
    <t>Data Base Size</t>
  </si>
  <si>
    <t>Product Complexity</t>
  </si>
  <si>
    <t>Computer attributes</t>
  </si>
  <si>
    <t>Execution Time Constraint</t>
  </si>
  <si>
    <t>Main Storage Constraint</t>
  </si>
  <si>
    <t>Virtual Machine Volatility</t>
  </si>
  <si>
    <t>Computer Turn Around Time</t>
  </si>
  <si>
    <t>Personnel Attributes</t>
  </si>
  <si>
    <t>Analyst Capability</t>
  </si>
  <si>
    <t>Application Experience</t>
  </si>
  <si>
    <t>Programmer Capability</t>
  </si>
  <si>
    <t>Virtual Machine Experience</t>
  </si>
  <si>
    <t>Programming Language Experience</t>
  </si>
  <si>
    <t>Project Attributes</t>
  </si>
  <si>
    <t>Modern Programming Practices</t>
  </si>
  <si>
    <t>Software Tools</t>
  </si>
  <si>
    <t>Required Development Schedule</t>
  </si>
  <si>
    <t>COCOMO Effort And Schedule Constants P. 75</t>
  </si>
  <si>
    <t>Development Mode</t>
  </si>
  <si>
    <t>Organic</t>
  </si>
  <si>
    <t>Semi-D</t>
  </si>
  <si>
    <t>Embedded</t>
  </si>
  <si>
    <t>MM Multiplier</t>
  </si>
  <si>
    <t>MM Power</t>
  </si>
  <si>
    <t>Schedule Multiplier</t>
  </si>
  <si>
    <t>Schedule Power</t>
  </si>
  <si>
    <t>Note: These constants are unadjusted from the COCOMO Book.</t>
  </si>
  <si>
    <t>Pages</t>
  </si>
  <si>
    <t>Controls</t>
  </si>
  <si>
    <t>Loc@Desktop</t>
  </si>
  <si>
    <t>Loc@Web</t>
  </si>
  <si>
    <t>Client Script</t>
  </si>
  <si>
    <t>Background Color Guidelines</t>
  </si>
  <si>
    <t>Enter in here</t>
  </si>
  <si>
    <t>Do not enter in here</t>
  </si>
  <si>
    <t>&lt;-----</t>
  </si>
  <si>
    <t>Replace this text</t>
  </si>
  <si>
    <t>Here</t>
  </si>
  <si>
    <t>Portions copyright by Dr. Boehm from book above.</t>
  </si>
  <si>
    <t>4. You have an estimate. Notice CoCoMo typically under estimates.</t>
  </si>
  <si>
    <t>Enter in Yellow Background Cells Only</t>
  </si>
  <si>
    <t>Parameterized (Change carefully, if at all!)</t>
  </si>
  <si>
    <t>4. Note on development mode, leave as 1 unless your building a VERY BIG COMPLEX Software or Hardware System.</t>
  </si>
  <si>
    <t>Deployment</t>
  </si>
  <si>
    <t>Development/Implementation</t>
  </si>
  <si>
    <t>Price/Hour</t>
  </si>
  <si>
    <t>Total Price</t>
  </si>
  <si>
    <t>Quality Assurance</t>
  </si>
  <si>
    <t>Tables</t>
  </si>
  <si>
    <t>SP</t>
  </si>
  <si>
    <t>Weeks/Mo</t>
  </si>
  <si>
    <t>Days/Week</t>
  </si>
  <si>
    <t>Hours/Day</t>
  </si>
  <si>
    <t>US CO CLEF: Component Level Estimation Form</t>
  </si>
  <si>
    <t>Bolded Figures Modified: STW [1992-2003]</t>
  </si>
  <si>
    <t>C#/OCX</t>
  </si>
  <si>
    <t>%</t>
  </si>
  <si>
    <t>&lt;---- From Sizing Worksheet</t>
  </si>
  <si>
    <t>COST</t>
  </si>
  <si>
    <t>Total Person Months (V27)</t>
  </si>
  <si>
    <t>Total Project Duration (V28)</t>
  </si>
  <si>
    <t>&lt;-- Units from above</t>
  </si>
  <si>
    <t>Allocation</t>
  </si>
  <si>
    <t>Note: The hours are ELAPSED time, and do not reflect the hours of work</t>
  </si>
  <si>
    <t>&lt;-- From '3. Phase Breakdown'</t>
  </si>
  <si>
    <t>COCOMO3.xlt</t>
  </si>
  <si>
    <t>Version 2/2004 a</t>
  </si>
  <si>
    <t>Custom Exel Application (c) 1992-2004 Stuart Williams</t>
  </si>
  <si>
    <t>Project Sizing Worksheet</t>
  </si>
  <si>
    <t xml:space="preserve">B. </t>
  </si>
  <si>
    <t>Notes:</t>
  </si>
  <si>
    <t xml:space="preserve">1. Like all estimating tools, the results depend on what is given to it. GIGO. </t>
  </si>
  <si>
    <t>2. The '1. Sizing Worksheet'  tab allows you to take function point analysis or a design document and convert functionality to 'lines of code'. This process works best when existing projects are taken and run through COCOMO adjusting the 'sizing multipliers' (in light blue) and the 'COCOMO CLEF Modifiers' on  '2. COCOMO' tab until your projects schedule fits the calculated one.</t>
  </si>
  <si>
    <t>3. There after carefully running finished projects back though COCOMO is a good idea to 'tune' it for future projects.</t>
  </si>
  <si>
    <t>4. What is a good result? The project schedule and effort +/- 10% is good and +/- 5% is great. In a perfect world, your COCOMO will over estimate more then it underestimates.</t>
  </si>
  <si>
    <t xml:space="preserve">A word of disclaimer. No tool maker can be held responsible for the results gotten. These tools are far too easy to misuse. </t>
  </si>
  <si>
    <t>I strongly recommend reading Boehm's book and matching COCOMO with another method like 'Wide Band Delphi'.</t>
  </si>
  <si>
    <t>An assessment of the impact of software changes on the software life cycle model. A guide for software engineers managing change and schedule.</t>
  </si>
  <si>
    <t>By Stuart Williams, M.S.C.S.S.E.</t>
  </si>
  <si>
    <t>© 1982-2004 by the author.</t>
  </si>
  <si>
    <t>With the advent of software cost modeling tools such as COCOMO [Boehm, 1981] the potential ability for software engineers to correctly estimate the project life cycle was greatly enhanced. Software tools such as Excel provide the calculation engines needed to factor the data and compute the results much easier.</t>
  </si>
  <si>
    <t>However, with this ease of use, comes the increased potential for error, as the models depend on the value of the various parameters used in computation. The miss-estimation of any of these can lead to startlingly different results.</t>
  </si>
  <si>
    <r>
      <t>2</t>
    </r>
    <r>
      <rPr>
        <b/>
        <sz val="7"/>
        <rFont val="Times New Roman"/>
        <family val="1"/>
      </rPr>
      <t xml:space="preserve">         </t>
    </r>
    <r>
      <rPr>
        <b/>
        <sz val="18"/>
        <rFont val="Arial"/>
        <family val="2"/>
      </rPr>
      <t>4 Degrees of Refactoring</t>
    </r>
  </si>
  <si>
    <r>
      <t>2.1</t>
    </r>
    <r>
      <rPr>
        <b/>
        <sz val="7"/>
        <rFont val="Times New Roman"/>
        <family val="1"/>
      </rPr>
      <t xml:space="preserve">      </t>
    </r>
    <r>
      <rPr>
        <b/>
        <i/>
        <sz val="10"/>
        <rFont val="Arial"/>
        <family val="2"/>
      </rPr>
      <t>Summary</t>
    </r>
  </si>
  <si>
    <t>Observations of software projects in the maintenance phase has yielded the following patterns based on the percentage of code being replaced, each pattern requires changes to the parameters used to feed the COCOMO model. A discussion of each pattern is in the sections below.</t>
  </si>
  <si>
    <t>Name</t>
  </si>
  <si>
    <t>% of Change</t>
  </si>
  <si>
    <t>Parameters to be adjusted</t>
  </si>
  <si>
    <t>Maintenance</t>
  </si>
  <si>
    <t>0%-25%</t>
  </si>
  <si>
    <r>
      <t>SCHED(</t>
    </r>
    <r>
      <rPr>
        <b/>
        <sz val="10"/>
        <rFont val="Verdana"/>
        <family val="2"/>
      </rPr>
      <t>0</t>
    </r>
    <r>
      <rPr>
        <sz val="10"/>
        <rFont val="Verdana"/>
        <family val="2"/>
      </rPr>
      <t>), AEXP (1), VEXP(1), ACAP(1)</t>
    </r>
  </si>
  <si>
    <t>Correction or Enhancement</t>
  </si>
  <si>
    <t>26%-50%</t>
  </si>
  <si>
    <t>SCHED(1), AEXP(0),  VEXP(0), ACAP(0)</t>
  </si>
  <si>
    <t>Major Correction</t>
  </si>
  <si>
    <t>51%-75%</t>
  </si>
  <si>
    <t>SCHED(1+), AEXP(-1), VEXP(0), ACAP(-1)</t>
  </si>
  <si>
    <t>New Project</t>
  </si>
  <si>
    <t>76%+</t>
  </si>
  <si>
    <t>SCHED(1+), AEXP(-1), VEXP(0), ACAP(-1-)</t>
  </si>
  <si>
    <r>
      <t xml:space="preserve">The numbers in ( ) represent the column shit that should be contemplated in the cost driver table in the ‘Help-Rating System’ tab in the Excel spreadsheet. A negative number indicates a left shift (e.g. NM </t>
    </r>
    <r>
      <rPr>
        <sz val="9"/>
        <rFont val="Wingdings"/>
        <family val="0"/>
      </rPr>
      <t>à</t>
    </r>
    <r>
      <rPr>
        <sz val="9"/>
        <rFont val="Verdana"/>
        <family val="2"/>
      </rPr>
      <t xml:space="preserve"> LO) a positive number indicates a right shift (e.g. NM </t>
    </r>
    <r>
      <rPr>
        <sz val="9"/>
        <rFont val="Wingdings"/>
        <family val="0"/>
      </rPr>
      <t>à</t>
    </r>
    <r>
      <rPr>
        <sz val="9"/>
        <rFont val="Verdana"/>
        <family val="2"/>
      </rPr>
      <t xml:space="preserve"> HI). Additionally, the models column ‘D’ “How Much Do We Have To Create New” should reflect the estimated percentage.</t>
    </r>
  </si>
  <si>
    <t>Parameters to be reconsidered as a function of those changes:</t>
  </si>
  <si>
    <t>Parameter</t>
  </si>
  <si>
    <t>Reasons to reconsider</t>
  </si>
  <si>
    <t>Have there been tool improvements since project inception? If the tool has changed, there should be at least a (-1) shift.</t>
  </si>
  <si>
    <t>Have the requirements for reliability changed?</t>
  </si>
  <si>
    <t>Has the database complexity changed?</t>
  </si>
  <si>
    <t>Has the business logic gotten more complex or have large numbers of exceptions or special cases been added?</t>
  </si>
  <si>
    <r>
      <t>2.2</t>
    </r>
    <r>
      <rPr>
        <b/>
        <sz val="7"/>
        <rFont val="Times New Roman"/>
        <family val="1"/>
      </rPr>
      <t xml:space="preserve">      </t>
    </r>
    <r>
      <rPr>
        <b/>
        <i/>
        <sz val="10"/>
        <rFont val="Arial"/>
        <family val="2"/>
      </rPr>
      <t>Maintenance</t>
    </r>
  </si>
  <si>
    <t>This pattern is a well known one and assumes no requirements changes and little or no new feature enhancements. Bug fixing and/or refactoring (the two should be exclusive of each other [Fowler, 1999]) are the rule for this model. It is assumed that the team is well experienced in the code being modified (if not adjust left ACAP, AEXP, PCAP, VEXP, LEXP) and know the requirements well. It also implies an existing depth of tests [Beck, 2000] that can be used to verify that bug fixes do not break existing functionality.</t>
  </si>
  <si>
    <r>
      <t>2.3</t>
    </r>
    <r>
      <rPr>
        <b/>
        <sz val="7"/>
        <rFont val="Times New Roman"/>
        <family val="1"/>
      </rPr>
      <t xml:space="preserve">      </t>
    </r>
    <r>
      <rPr>
        <b/>
        <i/>
        <sz val="10"/>
        <rFont val="Arial"/>
        <family val="2"/>
      </rPr>
      <t>Correction or Enhancement</t>
    </r>
  </si>
  <si>
    <t>A correction or enhancement implies significant requirements and design change with the schedule being adjust to cover the required reviews, etc. The implication is that a significant body of new tests will be written to test the new functionality above and beyond the existing test (some of which may be deprecated).</t>
  </si>
  <si>
    <t>This model is also appropriate when making a significant tools change, as new tool semantics (behavior, API, etc) will have a strong impact on system performance and stability. Inevitably, even if the code compiles in the new tool, significant refactoring of functions will be required to get them to be performant or stable at run time.</t>
  </si>
  <si>
    <r>
      <t>2.4</t>
    </r>
    <r>
      <rPr>
        <b/>
        <sz val="7"/>
        <rFont val="Times New Roman"/>
        <family val="1"/>
      </rPr>
      <t xml:space="preserve">      </t>
    </r>
    <r>
      <rPr>
        <b/>
        <i/>
        <sz val="10"/>
        <rFont val="Arial"/>
        <family val="2"/>
      </rPr>
      <t>Major Correction</t>
    </r>
  </si>
  <si>
    <t>A major correction implies the removal or complete redesign of significant subsystems. If these subsystems participate in a stack of functionality, the impact can be significant. Dependency analysis should be preformed to determine the effected subsystems whose volatility must be considered when adjusting the schedule even if the code required interfacing with the new/changed subsystems in minimal. This is the most frequently overlooked schedule adjustment factor. A multiplier should be applied (e.g. an adjustment to CPLX) if multiple interrelated subsystems are changing at the same time as additional system complexity will cause stabilization challenges.</t>
  </si>
  <si>
    <r>
      <t>2.5</t>
    </r>
    <r>
      <rPr>
        <b/>
        <sz val="7"/>
        <rFont val="Times New Roman"/>
        <family val="1"/>
      </rPr>
      <t xml:space="preserve">      </t>
    </r>
    <r>
      <rPr>
        <b/>
        <i/>
        <sz val="10"/>
        <rFont val="Arial"/>
        <family val="2"/>
      </rPr>
      <t>New Project</t>
    </r>
  </si>
  <si>
    <t>Simply put, changing more the 75% of the code even if it is assumed the requirements have changed constitutes a “do-over”. Careful analysis of the parameters for each subsystem must be undertaken and additional time allocated for running the old and new system in parallel and for churn caused by attempting to educate teams as to the new architecture.</t>
  </si>
  <si>
    <r>
      <t>3</t>
    </r>
    <r>
      <rPr>
        <b/>
        <sz val="7"/>
        <rFont val="Times New Roman"/>
        <family val="1"/>
      </rPr>
      <t xml:space="preserve">         </t>
    </r>
    <r>
      <rPr>
        <b/>
        <sz val="18"/>
        <rFont val="Arial"/>
        <family val="2"/>
      </rPr>
      <t>Bibliography</t>
    </r>
  </si>
  <si>
    <t>[Beck, 2000] Beck, Kent “Extreme Programming Explained”, Addison-Wesley, 2000</t>
  </si>
  <si>
    <t>[Boehm, 1981] Boehm, Barry "Software Engineering Economics", Prentice Hall 1981</t>
  </si>
  <si>
    <t>[Fowler, 1999] Fowler, Martin “Refactoring: Improving the Design of Existing Code”, Addison-Wesley, 1999</t>
  </si>
  <si>
    <r>
      <t>1</t>
    </r>
    <r>
      <rPr>
        <b/>
        <sz val="14"/>
        <rFont val="Times New Roman"/>
        <family val="1"/>
      </rPr>
      <t xml:space="preserve">         </t>
    </r>
    <r>
      <rPr>
        <b/>
        <sz val="14"/>
        <rFont val="Arial"/>
        <family val="2"/>
      </rPr>
      <t>Introduction</t>
    </r>
  </si>
  <si>
    <t>One of the most often miscalculated areas of estimation is maintenance.</t>
  </si>
  <si>
    <t>Device</t>
  </si>
  <si>
    <t>ShareIT.com</t>
  </si>
  <si>
    <t>Deep Rauniyar, Kalyan Govindu, Tyson Maxwell</t>
  </si>
  <si>
    <t>About_Us.html</t>
  </si>
  <si>
    <t>company_profile.html</t>
  </si>
  <si>
    <t>User Screens</t>
  </si>
  <si>
    <t>Item Screens</t>
  </si>
  <si>
    <t>Friend Screens</t>
  </si>
  <si>
    <t>User Database</t>
  </si>
  <si>
    <t>Product Database</t>
  </si>
  <si>
    <t>Administration Screens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</si>
</sst>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28">
    <font>
      <sz val="10"/>
      <name val="Arial"/>
      <family val="0"/>
    </font>
    <font>
      <b/>
      <sz val="10"/>
      <name val="Arial"/>
      <family val="0"/>
    </font>
    <font>
      <i/>
      <sz val="10"/>
      <name val="Arial"/>
      <family val="0"/>
    </font>
    <font>
      <b/>
      <i/>
      <sz val="10"/>
      <name val="Arial"/>
      <family val="0"/>
    </font>
    <font>
      <sz val="12"/>
      <name val="Century Schoolbook"/>
      <family val="1"/>
    </font>
    <font>
      <b/>
      <sz val="12"/>
      <name val="Arial"/>
      <family val="2"/>
    </font>
    <font>
      <b/>
      <sz val="14"/>
      <name val="Arial"/>
      <family val="2"/>
    </font>
    <font>
      <sz val="20"/>
      <name val="Century Schoolbook"/>
      <family val="1"/>
    </font>
    <font>
      <b/>
      <sz val="12"/>
      <name val="Century Schoolbook"/>
      <family val="0"/>
    </font>
    <font>
      <b/>
      <sz val="16"/>
      <name val="Arial"/>
      <family val="2"/>
    </font>
    <font>
      <sz val="16"/>
      <name val="Century Schoolbook"/>
      <family val="1"/>
    </font>
    <font>
      <sz val="10"/>
      <name val="Century Schoolbook"/>
      <family val="1"/>
    </font>
    <font>
      <b/>
      <sz val="16"/>
      <name val="Century Schoolbook"/>
      <family val="1"/>
    </font>
    <font>
      <b/>
      <sz val="10"/>
      <name val="Courier New"/>
      <family val="3"/>
    </font>
    <font>
      <b/>
      <sz val="10"/>
      <color indexed="12"/>
      <name val="Arial"/>
      <family val="2"/>
    </font>
    <font>
      <sz val="8"/>
      <name val="Courier New"/>
      <family val="3"/>
    </font>
    <font>
      <sz val="11"/>
      <name val="Century Schoolbook"/>
      <family val="1"/>
    </font>
    <font>
      <u val="single"/>
      <sz val="10"/>
      <color indexed="12"/>
      <name val="Arial"/>
      <family val="0"/>
    </font>
    <font>
      <u val="single"/>
      <sz val="10"/>
      <color indexed="36"/>
      <name val="Arial"/>
      <family val="0"/>
    </font>
    <font>
      <sz val="9"/>
      <name val="Verdana"/>
      <family val="2"/>
    </font>
    <font>
      <b/>
      <sz val="18"/>
      <name val="Arial"/>
      <family val="2"/>
    </font>
    <font>
      <b/>
      <sz val="7"/>
      <name val="Times New Roman"/>
      <family val="1"/>
    </font>
    <font>
      <b/>
      <sz val="10"/>
      <name val="Verdana"/>
      <family val="2"/>
    </font>
    <font>
      <sz val="10"/>
      <name val="Verdana"/>
      <family val="2"/>
    </font>
    <font>
      <sz val="9"/>
      <name val="Wingdings"/>
      <family val="0"/>
    </font>
    <font>
      <sz val="8"/>
      <name val="Arial"/>
      <family val="0"/>
    </font>
    <font>
      <b/>
      <sz val="12"/>
      <name val="Verdana"/>
      <family val="2"/>
    </font>
    <font>
      <b/>
      <sz val="14"/>
      <name val="Times New Roman"/>
      <family val="1"/>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style="double"/>
      <right>
        <color indexed="63"/>
      </right>
      <top>
        <color indexed="63"/>
      </top>
      <bottom>
        <color indexed="63"/>
      </bottom>
    </border>
    <border>
      <left style="double"/>
      <right style="double"/>
      <top>
        <color indexed="63"/>
      </top>
      <bottom>
        <color indexed="63"/>
      </bottom>
    </border>
    <border>
      <left style="double"/>
      <right style="thin"/>
      <top style="thin"/>
      <bottom style="thin"/>
    </border>
    <border>
      <left>
        <color indexed="63"/>
      </left>
      <right>
        <color indexed="63"/>
      </right>
      <top style="thin"/>
      <bottom style="double"/>
    </border>
    <border>
      <left style="double"/>
      <right style="double"/>
      <top style="thin"/>
      <bottom style="thin"/>
    </border>
    <border>
      <left style="double"/>
      <right style="double"/>
      <top style="thin"/>
      <bottom style="double"/>
    </border>
    <border>
      <left style="medium"/>
      <right style="medium"/>
      <top style="medium"/>
      <bottom style="medium"/>
    </border>
    <border>
      <left style="double"/>
      <right style="medium"/>
      <top style="medium"/>
      <bottom style="double"/>
    </border>
    <border>
      <left>
        <color indexed="63"/>
      </left>
      <right style="medium"/>
      <top style="medium"/>
      <bottom style="double"/>
    </border>
    <border>
      <left style="medium"/>
      <right style="medium"/>
      <top style="medium"/>
      <bottom style="double"/>
    </border>
    <border>
      <left>
        <color indexed="63"/>
      </left>
      <right style="thin"/>
      <top style="thin"/>
      <bottom style="thin"/>
    </border>
    <border>
      <left style="thin"/>
      <right>
        <color indexed="63"/>
      </right>
      <top style="thin"/>
      <bottom style="thin"/>
    </border>
    <border>
      <left style="double"/>
      <right style="double"/>
      <top style="medium"/>
      <bottom style="double"/>
    </border>
    <border>
      <left style="double"/>
      <right style="double"/>
      <top style="double"/>
      <bottom style="double"/>
    </border>
    <border>
      <left style="thin"/>
      <right>
        <color indexed="63"/>
      </right>
      <top>
        <color indexed="63"/>
      </top>
      <bottom style="medium"/>
    </border>
    <border>
      <left style="double"/>
      <right>
        <color indexed="63"/>
      </right>
      <top>
        <color indexed="63"/>
      </top>
      <bottom style="medium"/>
    </border>
    <border>
      <left style="double"/>
      <right style="thin"/>
      <top>
        <color indexed="63"/>
      </top>
      <bottom style="medium"/>
    </border>
    <border>
      <left style="medium"/>
      <right>
        <color indexed="63"/>
      </right>
      <top>
        <color indexed="63"/>
      </top>
      <bottom style="medium"/>
    </border>
    <border>
      <left style="double"/>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medium"/>
      <right>
        <color indexed="63"/>
      </right>
      <top style="thin"/>
      <bottom>
        <color indexed="63"/>
      </bottom>
    </border>
    <border>
      <left style="double"/>
      <right style="thin"/>
      <top style="thin"/>
      <bottom>
        <color indexed="63"/>
      </bottom>
    </border>
    <border>
      <left style="thin"/>
      <right>
        <color indexed="63"/>
      </right>
      <top>
        <color indexed="63"/>
      </top>
      <bottom style="double"/>
    </border>
    <border>
      <left style="double"/>
      <right style="thin"/>
      <top>
        <color indexed="63"/>
      </top>
      <bottom style="double"/>
    </border>
    <border>
      <left>
        <color indexed="63"/>
      </left>
      <right>
        <color indexed="63"/>
      </right>
      <top>
        <color indexed="63"/>
      </top>
      <bottom style="double"/>
    </border>
    <border>
      <left>
        <color indexed="63"/>
      </left>
      <right style="double"/>
      <top>
        <color indexed="63"/>
      </top>
      <bottom style="medium"/>
    </border>
    <border>
      <left>
        <color indexed="63"/>
      </left>
      <right style="double"/>
      <top style="medium"/>
      <bottom>
        <color indexed="63"/>
      </bottom>
    </border>
    <border>
      <left>
        <color indexed="63"/>
      </left>
      <right style="double"/>
      <top style="thin"/>
      <bottom>
        <color indexed="63"/>
      </bottom>
    </border>
    <border>
      <left>
        <color indexed="63"/>
      </left>
      <right style="double"/>
      <top>
        <color indexed="63"/>
      </top>
      <bottom style="double"/>
    </border>
    <border>
      <left style="double"/>
      <right style="double"/>
      <top style="medium"/>
      <bottom>
        <color indexed="63"/>
      </bottom>
    </border>
    <border>
      <left style="double"/>
      <right style="double"/>
      <top style="thin"/>
      <bottom>
        <color indexed="63"/>
      </bottom>
    </border>
    <border>
      <left style="thin">
        <color indexed="22"/>
      </left>
      <right style="medium"/>
      <top style="medium"/>
      <bottom style="medium"/>
    </border>
    <border>
      <left style="medium"/>
      <right style="medium"/>
      <top style="thin">
        <color indexed="22"/>
      </top>
      <bottom style="medium"/>
    </border>
    <border>
      <left style="thin">
        <color indexed="22"/>
      </left>
      <right style="medium"/>
      <top style="thin">
        <color indexed="22"/>
      </top>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0" xfId="0" applyFont="1" applyAlignment="1">
      <alignment/>
    </xf>
    <xf numFmtId="0" fontId="6" fillId="0" borderId="0" xfId="0" applyFont="1" applyAlignment="1">
      <alignment/>
    </xf>
    <xf numFmtId="0" fontId="0" fillId="0" borderId="3" xfId="0" applyBorder="1" applyAlignment="1">
      <alignment/>
    </xf>
    <xf numFmtId="0" fontId="1" fillId="0" borderId="1" xfId="0" applyFont="1" applyBorder="1" applyAlignment="1">
      <alignment horizontal="righ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0" fillId="0" borderId="5" xfId="0" applyBorder="1" applyAlignment="1">
      <alignment horizontal="center"/>
    </xf>
    <xf numFmtId="0" fontId="1" fillId="0" borderId="6" xfId="0" applyFont="1" applyBorder="1" applyAlignment="1">
      <alignment horizontal="center"/>
    </xf>
    <xf numFmtId="0" fontId="1" fillId="0" borderId="0" xfId="0" applyFont="1" applyAlignment="1">
      <alignment horizontal="right"/>
    </xf>
    <xf numFmtId="0" fontId="9" fillId="0" borderId="0" xfId="0" applyFont="1" applyAlignment="1">
      <alignment/>
    </xf>
    <xf numFmtId="0" fontId="0" fillId="0" borderId="2" xfId="0" applyBorder="1" applyAlignment="1">
      <alignment wrapText="1"/>
    </xf>
    <xf numFmtId="9" fontId="0" fillId="0" borderId="2" xfId="0" applyNumberFormat="1" applyBorder="1" applyAlignment="1">
      <alignment wrapText="1"/>
    </xf>
    <xf numFmtId="0" fontId="0" fillId="2" borderId="2" xfId="0" applyFill="1" applyBorder="1" applyAlignment="1">
      <alignment/>
    </xf>
    <xf numFmtId="0" fontId="10" fillId="0" borderId="0" xfId="0" applyFont="1" applyAlignment="1">
      <alignment/>
    </xf>
    <xf numFmtId="0" fontId="1" fillId="0" borderId="2" xfId="0" applyFont="1" applyBorder="1" applyAlignment="1">
      <alignment wrapText="1"/>
    </xf>
    <xf numFmtId="0" fontId="0" fillId="0" borderId="0" xfId="0" applyFont="1" applyAlignment="1">
      <alignment/>
    </xf>
    <xf numFmtId="0" fontId="1" fillId="0" borderId="1" xfId="0" applyFont="1" applyBorder="1" applyAlignment="1">
      <alignment wrapText="1"/>
    </xf>
    <xf numFmtId="0" fontId="1" fillId="0" borderId="0" xfId="0" applyFont="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0" fillId="2" borderId="7" xfId="0" applyFill="1" applyBorder="1" applyAlignment="1">
      <alignment/>
    </xf>
    <xf numFmtId="0" fontId="1" fillId="2" borderId="2" xfId="0" applyFont="1" applyFill="1" applyBorder="1" applyAlignment="1">
      <alignment/>
    </xf>
    <xf numFmtId="0" fontId="1" fillId="2" borderId="2" xfId="0" applyFont="1" applyFill="1" applyBorder="1" applyAlignment="1">
      <alignment horizontal="center"/>
    </xf>
    <xf numFmtId="0" fontId="0" fillId="2" borderId="2" xfId="0" applyFill="1" applyBorder="1" applyAlignment="1">
      <alignment horizontal="center"/>
    </xf>
    <xf numFmtId="0" fontId="11" fillId="0" borderId="0" xfId="0" applyFont="1" applyAlignment="1">
      <alignment/>
    </xf>
    <xf numFmtId="0" fontId="1" fillId="0" borderId="4" xfId="0" applyFont="1" applyBorder="1" applyAlignment="1">
      <alignment horizontal="right"/>
    </xf>
    <xf numFmtId="0" fontId="0" fillId="0" borderId="8" xfId="0" applyBorder="1" applyAlignment="1">
      <alignment/>
    </xf>
    <xf numFmtId="9" fontId="0" fillId="0" borderId="9" xfId="0" applyNumberFormat="1" applyBorder="1" applyAlignment="1">
      <alignment/>
    </xf>
    <xf numFmtId="9" fontId="0" fillId="3" borderId="9" xfId="0" applyNumberFormat="1" applyFill="1" applyBorder="1" applyAlignment="1">
      <alignment/>
    </xf>
    <xf numFmtId="9" fontId="0" fillId="3" borderId="10" xfId="0" applyNumberFormat="1" applyFill="1" applyBorder="1" applyAlignment="1">
      <alignment/>
    </xf>
    <xf numFmtId="2" fontId="0" fillId="3" borderId="2" xfId="0" applyNumberFormat="1" applyFill="1" applyBorder="1" applyAlignment="1">
      <alignment/>
    </xf>
    <xf numFmtId="2" fontId="2" fillId="3" borderId="2" xfId="0" applyNumberFormat="1" applyFont="1" applyFill="1" applyBorder="1" applyAlignment="1">
      <alignment/>
    </xf>
    <xf numFmtId="2" fontId="0" fillId="3" borderId="3" xfId="0" applyNumberFormat="1" applyFill="1" applyBorder="1" applyAlignment="1">
      <alignment/>
    </xf>
    <xf numFmtId="2" fontId="2" fillId="3" borderId="3" xfId="0" applyNumberFormat="1" applyFont="1" applyFill="1" applyBorder="1" applyAlignment="1">
      <alignment/>
    </xf>
    <xf numFmtId="0" fontId="0" fillId="0" borderId="0" xfId="0" applyAlignment="1" quotePrefix="1">
      <alignment/>
    </xf>
    <xf numFmtId="1" fontId="0" fillId="2" borderId="2" xfId="0" applyNumberFormat="1" applyFill="1" applyBorder="1" applyAlignment="1">
      <alignment horizontal="center"/>
    </xf>
    <xf numFmtId="0" fontId="12" fillId="0" borderId="0" xfId="0" applyFont="1" applyAlignment="1">
      <alignment/>
    </xf>
    <xf numFmtId="0" fontId="1" fillId="0" borderId="0" xfId="0" applyFont="1" applyAlignment="1" quotePrefix="1">
      <alignment/>
    </xf>
    <xf numFmtId="22" fontId="1" fillId="0" borderId="0" xfId="0" applyNumberFormat="1" applyFont="1" applyAlignment="1">
      <alignment/>
    </xf>
    <xf numFmtId="0" fontId="2" fillId="0" borderId="0" xfId="0" applyFont="1" applyAlignment="1">
      <alignment horizontal="left"/>
    </xf>
    <xf numFmtId="0" fontId="1" fillId="0" borderId="0" xfId="0" applyFont="1" applyAlignment="1">
      <alignment horizontal="left"/>
    </xf>
    <xf numFmtId="22" fontId="1" fillId="0" borderId="0" xfId="0" applyNumberFormat="1" applyFont="1" applyAlignment="1">
      <alignment horizontal="left"/>
    </xf>
    <xf numFmtId="2" fontId="0" fillId="2" borderId="11" xfId="0" applyNumberFormat="1" applyFill="1" applyBorder="1" applyAlignment="1">
      <alignment/>
    </xf>
    <xf numFmtId="2" fontId="0" fillId="2" borderId="2" xfId="0" applyNumberFormat="1" applyFill="1" applyBorder="1" applyAlignment="1">
      <alignment/>
    </xf>
    <xf numFmtId="2" fontId="1" fillId="2" borderId="2" xfId="0" applyNumberFormat="1" applyFont="1" applyFill="1"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1" fillId="0" borderId="0" xfId="0" applyFont="1" applyAlignment="1">
      <alignment horizontal="center"/>
    </xf>
    <xf numFmtId="0" fontId="0" fillId="4" borderId="7"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5" borderId="4" xfId="0" applyFill="1" applyBorder="1" applyAlignment="1">
      <alignment/>
    </xf>
    <xf numFmtId="2" fontId="0" fillId="5" borderId="2" xfId="0" applyNumberFormat="1" applyFill="1" applyBorder="1" applyAlignment="1">
      <alignment/>
    </xf>
    <xf numFmtId="0" fontId="1" fillId="0" borderId="0" xfId="0" applyFont="1" applyAlignment="1">
      <alignment/>
    </xf>
    <xf numFmtId="0" fontId="0" fillId="5" borderId="0" xfId="0" applyFill="1" applyAlignment="1">
      <alignment/>
    </xf>
    <xf numFmtId="0" fontId="13" fillId="0" borderId="0" xfId="0" applyFont="1" applyAlignment="1">
      <alignment/>
    </xf>
    <xf numFmtId="0" fontId="3" fillId="0" borderId="0" xfId="0" applyFont="1" applyAlignment="1">
      <alignment/>
    </xf>
    <xf numFmtId="0" fontId="0" fillId="0" borderId="0" xfId="0" applyAlignment="1" applyProtection="1">
      <alignment/>
      <protection locked="0"/>
    </xf>
    <xf numFmtId="0" fontId="0" fillId="6" borderId="12" xfId="0" applyFill="1" applyBorder="1" applyAlignment="1" applyProtection="1">
      <alignment/>
      <protection/>
    </xf>
    <xf numFmtId="0" fontId="0" fillId="2" borderId="17" xfId="0" applyFill="1" applyBorder="1" applyAlignment="1" applyProtection="1">
      <alignment/>
      <protection/>
    </xf>
    <xf numFmtId="0" fontId="0" fillId="2" borderId="7" xfId="0" applyFill="1" applyBorder="1" applyAlignment="1" applyProtection="1">
      <alignment/>
      <protection/>
    </xf>
    <xf numFmtId="0" fontId="0" fillId="2" borderId="9" xfId="0" applyFill="1" applyBorder="1" applyAlignment="1" applyProtection="1">
      <alignment/>
      <protection/>
    </xf>
    <xf numFmtId="0" fontId="0" fillId="2" borderId="18" xfId="0" applyFill="1" applyBorder="1" applyAlignment="1" applyProtection="1">
      <alignment/>
      <protection/>
    </xf>
    <xf numFmtId="0" fontId="1" fillId="0" borderId="19" xfId="0" applyFont="1" applyBorder="1" applyAlignment="1" applyProtection="1">
      <alignment/>
      <protection/>
    </xf>
    <xf numFmtId="0" fontId="0" fillId="2" borderId="1" xfId="0" applyFill="1" applyBorder="1" applyAlignment="1" applyProtection="1">
      <alignment/>
      <protection/>
    </xf>
    <xf numFmtId="2" fontId="0" fillId="2" borderId="20" xfId="0" applyNumberFormat="1" applyFill="1" applyBorder="1" applyAlignment="1" applyProtection="1">
      <alignment/>
      <protection/>
    </xf>
    <xf numFmtId="9" fontId="0" fillId="0" borderId="21" xfId="0" applyNumberFormat="1" applyBorder="1" applyAlignment="1" applyProtection="1">
      <alignment/>
      <protection/>
    </xf>
    <xf numFmtId="2" fontId="0" fillId="2" borderId="21" xfId="0" applyNumberFormat="1" applyFill="1" applyBorder="1" applyAlignment="1" applyProtection="1">
      <alignment/>
      <protection/>
    </xf>
    <xf numFmtId="0" fontId="0" fillId="4" borderId="7" xfId="0" applyFill="1" applyBorder="1" applyAlignment="1" applyProtection="1">
      <alignment wrapText="1"/>
      <protection locked="0"/>
    </xf>
    <xf numFmtId="0" fontId="0" fillId="4" borderId="11" xfId="0" applyFill="1" applyBorder="1" applyAlignment="1" applyProtection="1">
      <alignment horizontal="center"/>
      <protection locked="0"/>
    </xf>
    <xf numFmtId="0" fontId="7"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15" fillId="0" borderId="0" xfId="0" applyFont="1" applyAlignment="1" applyProtection="1">
      <alignment/>
      <protection/>
    </xf>
    <xf numFmtId="0" fontId="0" fillId="0" borderId="0" xfId="0" applyAlignment="1" applyProtection="1">
      <alignment horizontal="right"/>
      <protection/>
    </xf>
    <xf numFmtId="0" fontId="5" fillId="0" borderId="0" xfId="0" applyFont="1" applyAlignment="1" applyProtection="1">
      <alignment/>
      <protection/>
    </xf>
    <xf numFmtId="0" fontId="0" fillId="0" borderId="0" xfId="0" applyFont="1" applyAlignment="1" applyProtection="1">
      <alignment/>
      <protection/>
    </xf>
    <xf numFmtId="0" fontId="0" fillId="0" borderId="1" xfId="0" applyBorder="1" applyAlignment="1" applyProtection="1">
      <alignment/>
      <protection/>
    </xf>
    <xf numFmtId="0" fontId="6" fillId="0" borderId="1" xfId="0" applyFont="1" applyBorder="1" applyAlignment="1" applyProtection="1">
      <alignment wrapText="1"/>
      <protection/>
    </xf>
    <xf numFmtId="0" fontId="0" fillId="0" borderId="20" xfId="0" applyBorder="1" applyAlignment="1" applyProtection="1">
      <alignment textRotation="90" wrapText="1"/>
      <protection/>
    </xf>
    <xf numFmtId="0" fontId="0" fillId="0" borderId="1" xfId="0" applyBorder="1" applyAlignment="1" applyProtection="1">
      <alignment textRotation="90" wrapText="1"/>
      <protection/>
    </xf>
    <xf numFmtId="0" fontId="0" fillId="0" borderId="22" xfId="0" applyBorder="1" applyAlignment="1" applyProtection="1">
      <alignment textRotation="90" wrapText="1"/>
      <protection/>
    </xf>
    <xf numFmtId="0" fontId="0" fillId="0" borderId="23" xfId="0" applyBorder="1" applyAlignment="1" applyProtection="1">
      <alignment textRotation="90" wrapText="1"/>
      <protection/>
    </xf>
    <xf numFmtId="0" fontId="0" fillId="0" borderId="24" xfId="0" applyBorder="1" applyAlignment="1" applyProtection="1">
      <alignment/>
      <protection/>
    </xf>
    <xf numFmtId="0" fontId="0" fillId="0" borderId="25" xfId="0" applyBorder="1" applyAlignment="1" applyProtection="1">
      <alignment textRotation="90" wrapText="1"/>
      <protection/>
    </xf>
    <xf numFmtId="0" fontId="0" fillId="2" borderId="26" xfId="0" applyFill="1" applyBorder="1" applyAlignment="1" applyProtection="1">
      <alignment textRotation="90" wrapText="1"/>
      <protection/>
    </xf>
    <xf numFmtId="9" fontId="0" fillId="2" borderId="7" xfId="0" applyNumberFormat="1" applyFill="1" applyBorder="1" applyAlignment="1" applyProtection="1">
      <alignment textRotation="90" wrapText="1"/>
      <protection/>
    </xf>
    <xf numFmtId="0" fontId="0" fillId="2" borderId="27" xfId="0" applyFill="1" applyBorder="1" applyAlignment="1" applyProtection="1">
      <alignment textRotation="90" wrapText="1"/>
      <protection/>
    </xf>
    <xf numFmtId="9" fontId="0" fillId="2" borderId="21" xfId="0" applyNumberFormat="1" applyFill="1" applyBorder="1" applyAlignment="1" applyProtection="1">
      <alignment/>
      <protection/>
    </xf>
    <xf numFmtId="2" fontId="0" fillId="2" borderId="22" xfId="0" applyNumberFormat="1" applyFill="1" applyBorder="1" applyAlignment="1" applyProtection="1">
      <alignment/>
      <protection/>
    </xf>
    <xf numFmtId="0" fontId="0" fillId="0" borderId="25" xfId="0" applyBorder="1" applyAlignment="1" applyProtection="1">
      <alignment/>
      <protection/>
    </xf>
    <xf numFmtId="9" fontId="0" fillId="2" borderId="28" xfId="0" applyNumberFormat="1" applyFill="1" applyBorder="1" applyAlignment="1" applyProtection="1">
      <alignment textRotation="90" wrapText="1"/>
      <protection/>
    </xf>
    <xf numFmtId="0" fontId="1" fillId="0" borderId="29" xfId="0" applyFont="1" applyBorder="1" applyAlignment="1" applyProtection="1">
      <alignment/>
      <protection/>
    </xf>
    <xf numFmtId="9" fontId="0" fillId="0" borderId="30" xfId="0" applyNumberFormat="1" applyBorder="1" applyAlignment="1" applyProtection="1">
      <alignment/>
      <protection/>
    </xf>
    <xf numFmtId="0" fontId="1" fillId="0" borderId="31" xfId="0" applyFont="1" applyBorder="1" applyAlignment="1" applyProtection="1">
      <alignment/>
      <protection/>
    </xf>
    <xf numFmtId="0" fontId="5" fillId="0" borderId="31" xfId="0" applyFont="1" applyBorder="1" applyAlignment="1" applyProtection="1">
      <alignment/>
      <protection/>
    </xf>
    <xf numFmtId="0" fontId="4" fillId="0" borderId="18" xfId="0" applyFont="1" applyBorder="1" applyAlignment="1" applyProtection="1">
      <alignment/>
      <protection/>
    </xf>
    <xf numFmtId="0" fontId="0" fillId="7" borderId="0" xfId="0" applyFill="1" applyAlignment="1" applyProtection="1">
      <alignment/>
      <protection/>
    </xf>
    <xf numFmtId="0" fontId="0" fillId="0" borderId="31" xfId="0" applyBorder="1" applyAlignment="1" applyProtection="1">
      <alignment/>
      <protection/>
    </xf>
    <xf numFmtId="0" fontId="1" fillId="0" borderId="31" xfId="0" applyFont="1" applyBorder="1" applyAlignment="1" applyProtection="1">
      <alignment horizontal="right"/>
      <protection/>
    </xf>
    <xf numFmtId="0" fontId="5" fillId="0" borderId="31" xfId="0" applyFont="1" applyBorder="1" applyAlignment="1" applyProtection="1">
      <alignment horizontal="right"/>
      <protection/>
    </xf>
    <xf numFmtId="0" fontId="8" fillId="2" borderId="0" xfId="0" applyFont="1" applyFill="1" applyAlignment="1" applyProtection="1">
      <alignment/>
      <protection/>
    </xf>
    <xf numFmtId="0" fontId="4" fillId="2" borderId="0" xfId="0" applyFont="1" applyFill="1" applyAlignment="1" applyProtection="1">
      <alignment/>
      <protection/>
    </xf>
    <xf numFmtId="0" fontId="0" fillId="2" borderId="0" xfId="0" applyFill="1" applyAlignment="1" applyProtection="1">
      <alignment/>
      <protection/>
    </xf>
    <xf numFmtId="0" fontId="1" fillId="0" borderId="31" xfId="0" applyFont="1" applyBorder="1" applyAlignment="1" applyProtection="1" quotePrefix="1">
      <alignment horizontal="right"/>
      <protection/>
    </xf>
    <xf numFmtId="0" fontId="4" fillId="0" borderId="0" xfId="0" applyFont="1" applyAlignment="1" applyProtection="1">
      <alignment/>
      <protection/>
    </xf>
    <xf numFmtId="0" fontId="2" fillId="0" borderId="0" xfId="0" applyFont="1" applyAlignment="1" applyProtection="1">
      <alignment/>
      <protection/>
    </xf>
    <xf numFmtId="22" fontId="0" fillId="0" borderId="0" xfId="0" applyNumberFormat="1" applyAlignment="1" applyProtection="1">
      <alignment/>
      <protection/>
    </xf>
    <xf numFmtId="0" fontId="14" fillId="4" borderId="2" xfId="0" applyFont="1" applyFill="1" applyBorder="1" applyAlignment="1">
      <alignment wrapText="1"/>
    </xf>
    <xf numFmtId="0" fontId="0" fillId="4" borderId="2" xfId="0" applyFill="1" applyBorder="1" applyAlignment="1">
      <alignment wrapText="1"/>
    </xf>
    <xf numFmtId="164" fontId="0" fillId="8" borderId="11" xfId="0" applyNumberFormat="1" applyFill="1" applyBorder="1" applyAlignment="1">
      <alignment/>
    </xf>
    <xf numFmtId="2" fontId="0" fillId="0" borderId="0" xfId="0" applyNumberFormat="1" applyAlignment="1" applyProtection="1">
      <alignment/>
      <protection/>
    </xf>
    <xf numFmtId="2" fontId="0" fillId="3" borderId="2" xfId="0" applyNumberFormat="1" applyFill="1" applyBorder="1" applyAlignment="1">
      <alignment horizontal="center"/>
    </xf>
    <xf numFmtId="2" fontId="0" fillId="0" borderId="0" xfId="0" applyNumberFormat="1" applyAlignment="1" quotePrefix="1">
      <alignment/>
    </xf>
    <xf numFmtId="2" fontId="0" fillId="2" borderId="2" xfId="0" applyNumberFormat="1" applyFill="1" applyBorder="1" applyAlignment="1">
      <alignment horizontal="center"/>
    </xf>
    <xf numFmtId="2" fontId="0" fillId="0" borderId="0" xfId="0" applyNumberFormat="1" applyAlignment="1">
      <alignment/>
    </xf>
    <xf numFmtId="2" fontId="1" fillId="0" borderId="0" xfId="0" applyNumberFormat="1" applyFont="1" applyAlignment="1">
      <alignment horizontal="right"/>
    </xf>
    <xf numFmtId="2" fontId="4" fillId="2" borderId="18" xfId="0" applyNumberFormat="1" applyFont="1" applyFill="1" applyBorder="1" applyAlignment="1" applyProtection="1">
      <alignment/>
      <protection/>
    </xf>
    <xf numFmtId="2" fontId="16" fillId="2" borderId="18" xfId="0" applyNumberFormat="1" applyFont="1" applyFill="1" applyBorder="1" applyAlignment="1" applyProtection="1">
      <alignment/>
      <protection/>
    </xf>
    <xf numFmtId="0" fontId="0" fillId="0" borderId="32" xfId="0" applyBorder="1" applyAlignment="1" applyProtection="1">
      <alignment textRotation="90" wrapText="1"/>
      <protection/>
    </xf>
    <xf numFmtId="0" fontId="0" fillId="2" borderId="5" xfId="0" applyFill="1" applyBorder="1" applyAlignment="1" applyProtection="1">
      <alignment textRotation="90" wrapText="1"/>
      <protection/>
    </xf>
    <xf numFmtId="0" fontId="0" fillId="0" borderId="20" xfId="0" applyFill="1" applyBorder="1" applyAlignment="1" applyProtection="1">
      <alignment textRotation="90" wrapText="1"/>
      <protection/>
    </xf>
    <xf numFmtId="0" fontId="0" fillId="0" borderId="1" xfId="0" applyFill="1" applyBorder="1" applyAlignment="1" applyProtection="1">
      <alignment textRotation="90" wrapText="1"/>
      <protection/>
    </xf>
    <xf numFmtId="0" fontId="0" fillId="2" borderId="33" xfId="0" applyFill="1" applyBorder="1" applyAlignment="1" applyProtection="1">
      <alignment textRotation="90" wrapText="1"/>
      <protection/>
    </xf>
    <xf numFmtId="2" fontId="0" fillId="2" borderId="32" xfId="0" applyNumberFormat="1" applyFill="1" applyBorder="1" applyAlignment="1" applyProtection="1">
      <alignment/>
      <protection/>
    </xf>
    <xf numFmtId="0" fontId="0" fillId="2" borderId="34" xfId="0" applyFill="1" applyBorder="1" applyAlignment="1" applyProtection="1">
      <alignment textRotation="90" wrapText="1"/>
      <protection/>
    </xf>
    <xf numFmtId="2" fontId="0" fillId="2" borderId="35" xfId="0" applyNumberFormat="1" applyFill="1" applyBorder="1" applyAlignment="1" applyProtection="1">
      <alignment/>
      <protection/>
    </xf>
    <xf numFmtId="0" fontId="0" fillId="2" borderId="36" xfId="0" applyFill="1" applyBorder="1" applyAlignment="1" applyProtection="1">
      <alignment textRotation="90" wrapText="1"/>
      <protection/>
    </xf>
    <xf numFmtId="2" fontId="0" fillId="2" borderId="23" xfId="0" applyNumberFormat="1" applyFill="1" applyBorder="1" applyAlignment="1" applyProtection="1">
      <alignment/>
      <protection/>
    </xf>
    <xf numFmtId="0" fontId="0" fillId="2" borderId="37" xfId="0" applyFill="1" applyBorder="1" applyAlignment="1" applyProtection="1">
      <alignment textRotation="90" wrapText="1"/>
      <protection/>
    </xf>
    <xf numFmtId="9" fontId="0" fillId="2" borderId="2" xfId="0" applyNumberFormat="1" applyFill="1" applyBorder="1" applyAlignment="1">
      <alignment horizontal="center"/>
    </xf>
    <xf numFmtId="0" fontId="14" fillId="0" borderId="0" xfId="0" applyFont="1" applyAlignment="1">
      <alignment/>
    </xf>
    <xf numFmtId="0" fontId="1" fillId="0" borderId="0" xfId="0" applyFont="1" applyFill="1" applyAlignment="1">
      <alignment/>
    </xf>
    <xf numFmtId="164" fontId="5" fillId="5" borderId="2" xfId="0" applyNumberFormat="1" applyFont="1" applyFill="1" applyBorder="1" applyAlignment="1">
      <alignment/>
    </xf>
    <xf numFmtId="2" fontId="1" fillId="5" borderId="2" xfId="0" applyNumberFormat="1" applyFont="1" applyFill="1" applyBorder="1" applyAlignment="1">
      <alignment/>
    </xf>
    <xf numFmtId="2" fontId="0" fillId="2" borderId="2" xfId="0" applyNumberFormat="1" applyFill="1" applyBorder="1" applyAlignment="1" applyProtection="1">
      <alignment/>
      <protection/>
    </xf>
    <xf numFmtId="0" fontId="0" fillId="0" borderId="0" xfId="0" applyAlignment="1" applyProtection="1" quotePrefix="1">
      <alignment/>
      <protection/>
    </xf>
    <xf numFmtId="0" fontId="19" fillId="0" borderId="0" xfId="0" applyFont="1" applyAlignment="1">
      <alignment/>
    </xf>
    <xf numFmtId="0" fontId="20" fillId="0" borderId="0" xfId="0" applyFont="1" applyAlignment="1">
      <alignment horizontal="left" indent="2"/>
    </xf>
    <xf numFmtId="0" fontId="3" fillId="0" borderId="0" xfId="0" applyFont="1" applyAlignment="1">
      <alignment horizontal="left" indent="3"/>
    </xf>
    <xf numFmtId="0" fontId="22" fillId="0" borderId="11" xfId="0" applyFont="1" applyBorder="1" applyAlignment="1">
      <alignment vertical="top" wrapText="1"/>
    </xf>
    <xf numFmtId="0" fontId="22" fillId="0" borderId="38" xfId="0" applyFont="1" applyBorder="1" applyAlignment="1">
      <alignment vertical="top" wrapText="1"/>
    </xf>
    <xf numFmtId="0" fontId="23" fillId="0" borderId="39" xfId="0" applyFont="1" applyBorder="1" applyAlignment="1">
      <alignment vertical="top" wrapText="1"/>
    </xf>
    <xf numFmtId="0" fontId="23" fillId="0" borderId="40" xfId="0" applyFont="1" applyBorder="1" applyAlignment="1">
      <alignment horizontal="center" vertical="top" wrapText="1"/>
    </xf>
    <xf numFmtId="0" fontId="23" fillId="0" borderId="0" xfId="0" applyFont="1" applyAlignment="1">
      <alignment/>
    </xf>
    <xf numFmtId="0" fontId="23" fillId="0" borderId="40" xfId="0" applyFont="1" applyBorder="1" applyAlignment="1">
      <alignment vertical="top" wrapText="1"/>
    </xf>
    <xf numFmtId="0" fontId="0" fillId="0" borderId="0" xfId="0" applyAlignment="1">
      <alignment horizontal="left" indent="15"/>
    </xf>
    <xf numFmtId="0" fontId="19" fillId="0" borderId="0" xfId="0" applyFont="1" applyAlignment="1">
      <alignment wrapText="1"/>
    </xf>
    <xf numFmtId="0" fontId="19" fillId="0" borderId="0" xfId="0" applyFont="1" applyAlignment="1">
      <alignment horizontal="left" wrapText="1"/>
    </xf>
    <xf numFmtId="0" fontId="22" fillId="0" borderId="2" xfId="0" applyFont="1" applyBorder="1" applyAlignment="1">
      <alignment vertical="top" wrapText="1"/>
    </xf>
    <xf numFmtId="0" fontId="23" fillId="0" borderId="2" xfId="0" applyFont="1" applyBorder="1" applyAlignment="1">
      <alignment vertical="top" wrapText="1"/>
    </xf>
    <xf numFmtId="0" fontId="6" fillId="0" borderId="0" xfId="0" applyFont="1" applyAlignment="1">
      <alignment/>
    </xf>
    <xf numFmtId="0" fontId="23" fillId="0" borderId="0" xfId="0" applyFont="1" applyBorder="1" applyAlignment="1">
      <alignment vertical="top" wrapText="1"/>
    </xf>
    <xf numFmtId="0" fontId="23" fillId="0" borderId="0" xfId="0" applyFont="1" applyBorder="1" applyAlignment="1">
      <alignment horizontal="left" vertical="top" wrapText="1"/>
    </xf>
    <xf numFmtId="0" fontId="0" fillId="0" borderId="0" xfId="0" applyAlignment="1">
      <alignment horizontal="left" wrapText="1"/>
    </xf>
    <xf numFmtId="0" fontId="14" fillId="4" borderId="16" xfId="0" applyFont="1" applyFill="1" applyBorder="1" applyAlignment="1">
      <alignment horizontal="left"/>
    </xf>
    <xf numFmtId="0" fontId="14" fillId="4" borderId="4" xfId="0" applyFont="1" applyFill="1" applyBorder="1" applyAlignment="1">
      <alignment horizontal="left"/>
    </xf>
    <xf numFmtId="0" fontId="14" fillId="4" borderId="15" xfId="0" applyFont="1" applyFill="1" applyBorder="1" applyAlignment="1">
      <alignment horizontal="left"/>
    </xf>
    <xf numFmtId="0" fontId="0" fillId="0" borderId="0" xfId="0" applyNumberFormat="1" applyAlignment="1">
      <alignment horizontal="left" wrapText="1"/>
    </xf>
    <xf numFmtId="49" fontId="6" fillId="0" borderId="0" xfId="0" applyNumberFormat="1" applyFont="1" applyAlignment="1" applyProtection="1">
      <alignment horizontal="left"/>
      <protection/>
    </xf>
    <xf numFmtId="0" fontId="1" fillId="0" borderId="41" xfId="0" applyFont="1" applyBorder="1" applyAlignment="1">
      <alignment horizontal="center"/>
    </xf>
    <xf numFmtId="0" fontId="1" fillId="0" borderId="41" xfId="0" applyFont="1" applyBorder="1" applyAlignment="1">
      <alignment horizontal="center"/>
    </xf>
    <xf numFmtId="0" fontId="26" fillId="0" borderId="0" xfId="0" applyFont="1" applyAlignment="1">
      <alignment horizontal="left" wrapText="1"/>
    </xf>
    <xf numFmtId="0" fontId="19" fillId="0" borderId="0" xfId="0" applyFont="1" applyAlignment="1">
      <alignment horizontal="left" wrapText="1"/>
    </xf>
    <xf numFmtId="0" fontId="22" fillId="0" borderId="2" xfId="0" applyFont="1" applyBorder="1" applyAlignment="1">
      <alignment horizontal="center" vertical="top" wrapText="1"/>
    </xf>
    <xf numFmtId="0" fontId="23" fillId="0" borderId="2" xfId="0" applyFont="1" applyBorder="1" applyAlignment="1">
      <alignment horizontal="left" vertical="top" wrapText="1"/>
    </xf>
    <xf numFmtId="0" fontId="19"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H45"/>
  <sheetViews>
    <sheetView workbookViewId="0" topLeftCell="A4">
      <selection activeCell="H30" sqref="H30"/>
    </sheetView>
  </sheetViews>
  <sheetFormatPr defaultColWidth="9.140625" defaultRowHeight="12.75"/>
  <cols>
    <col min="1" max="1" width="9.00390625" style="0" customWidth="1"/>
    <col min="3" max="3" width="6.8515625" style="0" customWidth="1"/>
    <col min="4" max="4" width="29.140625" style="0" customWidth="1"/>
    <col min="8" max="8" width="18.28125" style="0" customWidth="1"/>
  </cols>
  <sheetData>
    <row r="2" ht="20.25">
      <c r="A2" s="40" t="s">
        <v>0</v>
      </c>
    </row>
    <row r="3" spans="1:8" ht="12.75">
      <c r="A3" t="s">
        <v>1</v>
      </c>
      <c r="D3" s="44" t="s">
        <v>227</v>
      </c>
      <c r="E3" t="s">
        <v>228</v>
      </c>
      <c r="H3" s="42">
        <f ca="1">NOW()</f>
        <v>39939.00443310185</v>
      </c>
    </row>
    <row r="5" ht="12.75">
      <c r="B5" s="3" t="s">
        <v>2</v>
      </c>
    </row>
    <row r="6" ht="12.75">
      <c r="C6" s="41" t="s">
        <v>3</v>
      </c>
    </row>
    <row r="7" ht="12.75">
      <c r="C7" s="41"/>
    </row>
    <row r="8" ht="12.75">
      <c r="C8" t="s">
        <v>4</v>
      </c>
    </row>
    <row r="9" ht="12.75">
      <c r="C9" t="s">
        <v>5</v>
      </c>
    </row>
    <row r="10" ht="12.75">
      <c r="D10" s="28" t="s">
        <v>6</v>
      </c>
    </row>
    <row r="12" ht="12.75">
      <c r="C12" t="s">
        <v>7</v>
      </c>
    </row>
    <row r="14" ht="12.75">
      <c r="B14" s="3" t="s">
        <v>8</v>
      </c>
    </row>
    <row r="16" spans="3:4" ht="12.75">
      <c r="C16" s="19"/>
      <c r="D16" t="s">
        <v>9</v>
      </c>
    </row>
    <row r="17" spans="3:4" ht="12.75">
      <c r="C17" s="19"/>
      <c r="D17" t="s">
        <v>10</v>
      </c>
    </row>
    <row r="18" spans="3:4" ht="12.75">
      <c r="C18" s="19"/>
      <c r="D18" t="s">
        <v>11</v>
      </c>
    </row>
    <row r="19" ht="12.75">
      <c r="C19" s="19"/>
    </row>
    <row r="20" ht="12.75">
      <c r="B20" s="3" t="s">
        <v>12</v>
      </c>
    </row>
    <row r="21" ht="12.75">
      <c r="B21" s="3"/>
    </row>
    <row r="22" ht="12.75">
      <c r="D22" t="s">
        <v>13</v>
      </c>
    </row>
    <row r="23" ht="12.75">
      <c r="D23" t="s">
        <v>14</v>
      </c>
    </row>
    <row r="24" ht="12.75">
      <c r="D24" t="s">
        <v>15</v>
      </c>
    </row>
    <row r="25" ht="12.75">
      <c r="D25" t="s">
        <v>16</v>
      </c>
    </row>
    <row r="27" ht="12.75">
      <c r="B27" s="3" t="s">
        <v>17</v>
      </c>
    </row>
    <row r="28" ht="12.75">
      <c r="B28" s="3"/>
    </row>
    <row r="29" ht="12.75">
      <c r="C29" t="s">
        <v>18</v>
      </c>
    </row>
    <row r="30" ht="12.75">
      <c r="C30" t="s">
        <v>19</v>
      </c>
    </row>
    <row r="31" ht="12.75">
      <c r="C31" t="s">
        <v>20</v>
      </c>
    </row>
    <row r="32" ht="12.75">
      <c r="C32" t="s">
        <v>201</v>
      </c>
    </row>
    <row r="34" ht="12.75">
      <c r="B34" s="58" t="s">
        <v>194</v>
      </c>
    </row>
    <row r="35" spans="3:6" ht="13.5">
      <c r="C35" s="114"/>
      <c r="D35" s="58" t="s">
        <v>195</v>
      </c>
      <c r="E35" s="60" t="s">
        <v>197</v>
      </c>
      <c r="F35" t="s">
        <v>202</v>
      </c>
    </row>
    <row r="36" spans="3:6" ht="13.5">
      <c r="C36" s="113" t="s">
        <v>199</v>
      </c>
      <c r="D36" s="58" t="s">
        <v>198</v>
      </c>
      <c r="E36" s="60" t="s">
        <v>197</v>
      </c>
      <c r="F36" t="s">
        <v>202</v>
      </c>
    </row>
    <row r="37" ht="12.75">
      <c r="D37" s="58"/>
    </row>
    <row r="38" spans="3:4" ht="12.75">
      <c r="C38" s="24"/>
      <c r="D38" s="58" t="s">
        <v>196</v>
      </c>
    </row>
    <row r="39" spans="3:4" ht="12.75">
      <c r="C39" s="2"/>
      <c r="D39" s="58" t="s">
        <v>196</v>
      </c>
    </row>
    <row r="40" spans="3:4" ht="12.75">
      <c r="C40" s="59"/>
      <c r="D40" s="58" t="s">
        <v>196</v>
      </c>
    </row>
    <row r="42" spans="3:4" ht="12.75">
      <c r="C42" s="34"/>
      <c r="D42" s="58" t="s">
        <v>203</v>
      </c>
    </row>
    <row r="44" ht="12.75">
      <c r="B44" t="s">
        <v>229</v>
      </c>
    </row>
    <row r="45" ht="12.75">
      <c r="B45" t="s">
        <v>200</v>
      </c>
    </row>
  </sheetData>
  <printOptions/>
  <pageMargins left="0.75" right="0.75" top="1" bottom="1" header="0.5" footer="0.5"/>
  <pageSetup fitToHeight="1" fitToWidth="1" horizontalDpi="600" verticalDpi="600" orientation="landscape" scale="81"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tabSelected="1" zoomScale="75" zoomScaleNormal="75" workbookViewId="0" topLeftCell="A1">
      <selection activeCell="H13" sqref="H13"/>
    </sheetView>
  </sheetViews>
  <sheetFormatPr defaultColWidth="9.140625" defaultRowHeight="12.75"/>
  <cols>
    <col min="2" max="2" width="74.8515625" style="0" customWidth="1"/>
    <col min="3" max="3" width="10.28125" style="0" bestFit="1" customWidth="1"/>
    <col min="6" max="7" width="11.57421875" style="0" customWidth="1"/>
    <col min="8" max="8" width="12.140625" style="0" customWidth="1"/>
  </cols>
  <sheetData>
    <row r="1" ht="20.25">
      <c r="A1" s="13" t="s">
        <v>230</v>
      </c>
    </row>
    <row r="2" spans="1:9" ht="12.75">
      <c r="A2" s="3" t="s">
        <v>21</v>
      </c>
      <c r="B2" s="160" t="s">
        <v>286</v>
      </c>
      <c r="C2" s="161"/>
      <c r="D2" s="161"/>
      <c r="E2" s="161"/>
      <c r="F2" s="161"/>
      <c r="G2" s="161"/>
      <c r="H2" s="161"/>
      <c r="I2" s="162"/>
    </row>
    <row r="3" spans="1:9" ht="12.75">
      <c r="A3" s="3" t="s">
        <v>22</v>
      </c>
      <c r="B3" s="160" t="s">
        <v>287</v>
      </c>
      <c r="C3" s="161"/>
      <c r="D3" s="161"/>
      <c r="E3" s="161"/>
      <c r="F3" s="161"/>
      <c r="G3" s="161"/>
      <c r="H3" s="161"/>
      <c r="I3" s="162"/>
    </row>
    <row r="4" spans="1:8" ht="14.25" customHeight="1">
      <c r="A4" s="13"/>
      <c r="F4" s="23"/>
      <c r="G4" s="23"/>
      <c r="H4" s="23"/>
    </row>
    <row r="5" spans="2:8" ht="12.75">
      <c r="B5" s="12" t="s">
        <v>192</v>
      </c>
      <c r="C5" s="22" t="s">
        <v>285</v>
      </c>
      <c r="D5" s="23" t="s">
        <v>189</v>
      </c>
      <c r="E5" s="52" t="s">
        <v>210</v>
      </c>
      <c r="F5" s="23" t="s">
        <v>217</v>
      </c>
      <c r="G5" s="23" t="s">
        <v>211</v>
      </c>
      <c r="H5" s="23" t="s">
        <v>193</v>
      </c>
    </row>
    <row r="6" spans="2:10" ht="13.5" thickBot="1">
      <c r="B6" s="12" t="s">
        <v>191</v>
      </c>
      <c r="C6" s="22" t="s">
        <v>24</v>
      </c>
      <c r="D6" s="23" t="s">
        <v>23</v>
      </c>
      <c r="E6" s="52" t="s">
        <v>210</v>
      </c>
      <c r="F6" s="21" t="s">
        <v>190</v>
      </c>
      <c r="G6" s="21" t="s">
        <v>211</v>
      </c>
      <c r="H6" s="21" t="s">
        <v>24</v>
      </c>
      <c r="I6" s="10" t="s">
        <v>25</v>
      </c>
      <c r="J6" s="11" t="s">
        <v>26</v>
      </c>
    </row>
    <row r="7" spans="2:10" ht="13.5" thickBot="1">
      <c r="B7" s="20" t="s">
        <v>27</v>
      </c>
      <c r="C7" s="49">
        <v>250</v>
      </c>
      <c r="D7" s="50">
        <v>200</v>
      </c>
      <c r="E7" s="51">
        <v>15</v>
      </c>
      <c r="F7" s="51">
        <v>1</v>
      </c>
      <c r="G7" s="51">
        <f>30</f>
        <v>30</v>
      </c>
      <c r="H7" s="51">
        <v>1</v>
      </c>
      <c r="I7" s="63"/>
      <c r="J7" s="64">
        <v>1000</v>
      </c>
    </row>
    <row r="8" spans="1:10" ht="12.75">
      <c r="A8">
        <v>1</v>
      </c>
      <c r="B8" s="55" t="s">
        <v>288</v>
      </c>
      <c r="C8" s="53">
        <v>0</v>
      </c>
      <c r="D8" s="53">
        <v>1</v>
      </c>
      <c r="E8" s="53">
        <v>0</v>
      </c>
      <c r="F8" s="53">
        <v>0</v>
      </c>
      <c r="G8" s="53">
        <v>0</v>
      </c>
      <c r="H8" s="53">
        <v>0</v>
      </c>
      <c r="I8" s="65">
        <f>C8*$C$7+D8*$D$7+E8*$E$7+F8*$F$7+G8*$G$7+H8*$H$7</f>
        <v>200</v>
      </c>
      <c r="J8" s="66">
        <f>I8/$J$7</f>
        <v>0.2</v>
      </c>
    </row>
    <row r="9" spans="1:10" ht="12.75">
      <c r="A9">
        <v>2</v>
      </c>
      <c r="B9" s="55" t="s">
        <v>289</v>
      </c>
      <c r="C9" s="53">
        <v>0</v>
      </c>
      <c r="D9" s="53">
        <v>1</v>
      </c>
      <c r="E9" s="53">
        <v>0</v>
      </c>
      <c r="F9" s="53">
        <v>0</v>
      </c>
      <c r="G9" s="53">
        <v>0</v>
      </c>
      <c r="H9" s="53">
        <v>0</v>
      </c>
      <c r="I9" s="65">
        <f aca="true" t="shared" si="0" ref="I9:I17">C9*$C$7+D9*$D$7+E9*$E$7+F9*$F$7+G9*$G$7+H9*$H$7</f>
        <v>200</v>
      </c>
      <c r="J9" s="66">
        <f aca="true" t="shared" si="1" ref="J9:J18">I9/$J$7</f>
        <v>0.2</v>
      </c>
    </row>
    <row r="10" spans="1:10" ht="12.75">
      <c r="A10">
        <v>3</v>
      </c>
      <c r="B10" s="55" t="s">
        <v>290</v>
      </c>
      <c r="C10" s="53">
        <v>0</v>
      </c>
      <c r="D10" s="53">
        <v>3</v>
      </c>
      <c r="E10" s="53">
        <v>10</v>
      </c>
      <c r="F10" s="53">
        <v>0</v>
      </c>
      <c r="G10" s="53">
        <v>0</v>
      </c>
      <c r="H10" s="53">
        <v>3500</v>
      </c>
      <c r="I10" s="65">
        <f t="shared" si="0"/>
        <v>4250</v>
      </c>
      <c r="J10" s="66">
        <f t="shared" si="1"/>
        <v>4.25</v>
      </c>
    </row>
    <row r="11" spans="1:10" ht="12.75">
      <c r="A11">
        <v>4</v>
      </c>
      <c r="B11" s="55" t="s">
        <v>291</v>
      </c>
      <c r="C11" s="53">
        <v>0</v>
      </c>
      <c r="D11" s="53">
        <v>0</v>
      </c>
      <c r="E11" s="53">
        <v>0</v>
      </c>
      <c r="F11" s="53">
        <v>0</v>
      </c>
      <c r="G11" s="53">
        <v>0</v>
      </c>
      <c r="H11" s="53">
        <v>4000</v>
      </c>
      <c r="I11" s="65">
        <f t="shared" si="0"/>
        <v>4000</v>
      </c>
      <c r="J11" s="66">
        <f t="shared" si="1"/>
        <v>4</v>
      </c>
    </row>
    <row r="12" spans="1:10" ht="12.75">
      <c r="A12">
        <v>5</v>
      </c>
      <c r="B12" s="55" t="s">
        <v>292</v>
      </c>
      <c r="C12" s="53">
        <v>0</v>
      </c>
      <c r="D12" s="53">
        <v>0</v>
      </c>
      <c r="E12" s="53">
        <v>0</v>
      </c>
      <c r="F12" s="53">
        <v>0</v>
      </c>
      <c r="G12" s="53">
        <v>0</v>
      </c>
      <c r="H12" s="53">
        <v>5000</v>
      </c>
      <c r="I12" s="65">
        <f t="shared" si="0"/>
        <v>5000</v>
      </c>
      <c r="J12" s="66">
        <f t="shared" si="1"/>
        <v>5</v>
      </c>
    </row>
    <row r="13" spans="1:10" ht="12.75">
      <c r="A13">
        <v>6</v>
      </c>
      <c r="B13" s="55" t="s">
        <v>293</v>
      </c>
      <c r="C13" s="53">
        <v>0</v>
      </c>
      <c r="D13" s="53">
        <v>0</v>
      </c>
      <c r="E13" s="53">
        <v>8</v>
      </c>
      <c r="F13" s="53">
        <v>0</v>
      </c>
      <c r="G13" s="53">
        <v>22</v>
      </c>
      <c r="H13" s="53">
        <v>0</v>
      </c>
      <c r="I13" s="65">
        <f t="shared" si="0"/>
        <v>780</v>
      </c>
      <c r="J13" s="66">
        <f t="shared" si="1"/>
        <v>0.78</v>
      </c>
    </row>
    <row r="14" spans="1:10" ht="12.75">
      <c r="A14">
        <v>7</v>
      </c>
      <c r="B14" s="55" t="s">
        <v>294</v>
      </c>
      <c r="C14" s="53">
        <v>0</v>
      </c>
      <c r="D14" s="53">
        <v>0</v>
      </c>
      <c r="E14" s="53">
        <v>20</v>
      </c>
      <c r="F14" s="53">
        <v>0</v>
      </c>
      <c r="G14" s="53">
        <v>38</v>
      </c>
      <c r="H14" s="53">
        <v>0</v>
      </c>
      <c r="I14" s="65">
        <f t="shared" si="0"/>
        <v>1440</v>
      </c>
      <c r="J14" s="66">
        <f t="shared" si="1"/>
        <v>1.44</v>
      </c>
    </row>
    <row r="15" spans="1:10" ht="12.75">
      <c r="A15">
        <v>8</v>
      </c>
      <c r="B15" s="55" t="s">
        <v>295</v>
      </c>
      <c r="C15" s="53">
        <v>0</v>
      </c>
      <c r="D15" s="53">
        <v>0</v>
      </c>
      <c r="E15" s="53">
        <v>0</v>
      </c>
      <c r="F15" s="53">
        <v>0</v>
      </c>
      <c r="G15" s="53">
        <v>0</v>
      </c>
      <c r="H15" s="53">
        <v>0</v>
      </c>
      <c r="I15" s="65">
        <f t="shared" si="0"/>
        <v>0</v>
      </c>
      <c r="J15" s="66">
        <f t="shared" si="1"/>
        <v>0</v>
      </c>
    </row>
    <row r="16" spans="1:10" ht="12.75">
      <c r="A16">
        <v>9</v>
      </c>
      <c r="B16" s="55"/>
      <c r="C16" s="53">
        <v>0</v>
      </c>
      <c r="D16" s="53">
        <v>0</v>
      </c>
      <c r="E16" s="53">
        <v>0</v>
      </c>
      <c r="F16" s="53">
        <v>0</v>
      </c>
      <c r="G16" s="53">
        <v>0</v>
      </c>
      <c r="H16" s="54">
        <v>0</v>
      </c>
      <c r="I16" s="65">
        <f t="shared" si="0"/>
        <v>0</v>
      </c>
      <c r="J16" s="66">
        <f t="shared" si="1"/>
        <v>0</v>
      </c>
    </row>
    <row r="17" spans="1:10" ht="13.5" thickBot="1">
      <c r="A17">
        <v>10</v>
      </c>
      <c r="B17" s="55"/>
      <c r="C17" s="53">
        <v>0</v>
      </c>
      <c r="D17" s="53">
        <v>0</v>
      </c>
      <c r="E17" s="53">
        <v>0</v>
      </c>
      <c r="F17" s="53">
        <v>0</v>
      </c>
      <c r="G17" s="53">
        <v>0</v>
      </c>
      <c r="H17" s="54">
        <v>0</v>
      </c>
      <c r="I17" s="65">
        <f t="shared" si="0"/>
        <v>0</v>
      </c>
      <c r="J17" s="66">
        <f t="shared" si="1"/>
        <v>0</v>
      </c>
    </row>
    <row r="18" spans="9:10" ht="14.25" thickBot="1" thickTop="1">
      <c r="I18" s="67">
        <f>SUM(I8:I17)</f>
        <v>15870</v>
      </c>
      <c r="J18" s="67">
        <f t="shared" si="1"/>
        <v>15.87</v>
      </c>
    </row>
    <row r="19" ht="13.5" thickTop="1">
      <c r="B19" s="45">
        <f ca="1">NOW()</f>
        <v>39939.00443310185</v>
      </c>
    </row>
    <row r="20" ht="12.75">
      <c r="B20" s="43"/>
    </row>
    <row r="22" spans="1:2" ht="12.75">
      <c r="A22" s="12" t="s">
        <v>28</v>
      </c>
      <c r="B22" s="3" t="s">
        <v>29</v>
      </c>
    </row>
    <row r="23" ht="12.75">
      <c r="B23" t="s">
        <v>30</v>
      </c>
    </row>
    <row r="24" ht="12.75">
      <c r="B24" t="s">
        <v>31</v>
      </c>
    </row>
    <row r="25" ht="12.75">
      <c r="B25" t="s">
        <v>32</v>
      </c>
    </row>
    <row r="26" ht="12.75">
      <c r="B26" t="s">
        <v>33</v>
      </c>
    </row>
    <row r="27" ht="12.75">
      <c r="B27" t="s">
        <v>34</v>
      </c>
    </row>
    <row r="29" ht="12.75">
      <c r="B29" s="61" t="str">
        <f>Introduction!B44</f>
        <v>Custom Exel Application (c) 1992-2004 Stuart Williams</v>
      </c>
    </row>
    <row r="32" spans="1:2" ht="12.75">
      <c r="A32" s="12" t="s">
        <v>231</v>
      </c>
      <c r="B32" s="3" t="s">
        <v>232</v>
      </c>
    </row>
    <row r="33" spans="2:10" ht="12.75">
      <c r="B33" s="159" t="s">
        <v>233</v>
      </c>
      <c r="C33" s="159"/>
      <c r="D33" s="159"/>
      <c r="E33" s="159"/>
      <c r="F33" s="159"/>
      <c r="G33" s="159"/>
      <c r="H33" s="159"/>
      <c r="I33" s="159"/>
      <c r="J33" s="159"/>
    </row>
    <row r="34" spans="2:10" ht="29.25" customHeight="1">
      <c r="B34" s="163" t="s">
        <v>234</v>
      </c>
      <c r="C34" s="163"/>
      <c r="D34" s="163"/>
      <c r="E34" s="163"/>
      <c r="F34" s="163"/>
      <c r="G34" s="163"/>
      <c r="H34" s="163"/>
      <c r="I34" s="163"/>
      <c r="J34" s="163"/>
    </row>
    <row r="35" spans="2:10" ht="12.75">
      <c r="B35" s="159" t="s">
        <v>235</v>
      </c>
      <c r="C35" s="159"/>
      <c r="D35" s="159"/>
      <c r="E35" s="159"/>
      <c r="F35" s="159"/>
      <c r="G35" s="159"/>
      <c r="H35" s="159"/>
      <c r="I35" s="159"/>
      <c r="J35" s="159"/>
    </row>
    <row r="36" spans="2:10" ht="12.75">
      <c r="B36" s="159" t="s">
        <v>236</v>
      </c>
      <c r="C36" s="159"/>
      <c r="D36" s="159"/>
      <c r="E36" s="159"/>
      <c r="F36" s="159"/>
      <c r="G36" s="159"/>
      <c r="H36" s="159"/>
      <c r="I36" s="159"/>
      <c r="J36" s="159"/>
    </row>
    <row r="37" ht="12.75">
      <c r="B37" s="62"/>
    </row>
    <row r="38" ht="12.75">
      <c r="B38" t="s">
        <v>237</v>
      </c>
    </row>
    <row r="39" ht="12.75">
      <c r="B39" t="s">
        <v>238</v>
      </c>
    </row>
  </sheetData>
  <mergeCells count="6">
    <mergeCell ref="B35:J35"/>
    <mergeCell ref="B36:J36"/>
    <mergeCell ref="B2:I2"/>
    <mergeCell ref="B3:I3"/>
    <mergeCell ref="B33:J33"/>
    <mergeCell ref="B34:J34"/>
  </mergeCells>
  <printOptions/>
  <pageMargins left="0.75" right="0.75" top="1" bottom="1" header="0.5" footer="0.5"/>
  <pageSetup fitToHeight="1" fitToWidth="1" horizontalDpi="600" verticalDpi="600" orientation="landscape" scale="74"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39"/>
  <sheetViews>
    <sheetView showZeros="0" zoomScale="75" zoomScaleNormal="75" workbookViewId="0" topLeftCell="A28">
      <selection activeCell="C2" sqref="C2:T2"/>
    </sheetView>
  </sheetViews>
  <sheetFormatPr defaultColWidth="9.140625" defaultRowHeight="12.75"/>
  <cols>
    <col min="1" max="1" width="3.140625" style="76" customWidth="1"/>
    <col min="2" max="2" width="27.140625" style="76" customWidth="1"/>
    <col min="3" max="3" width="11.00390625" style="76" bestFit="1" customWidth="1"/>
    <col min="4" max="4" width="7.28125" style="76" customWidth="1"/>
    <col min="5" max="19" width="4.57421875" style="76" customWidth="1"/>
    <col min="20" max="20" width="8.140625" style="76" customWidth="1"/>
    <col min="21" max="21" width="9.8515625" style="76" customWidth="1"/>
    <col min="22" max="22" width="13.28125" style="76" customWidth="1"/>
    <col min="23" max="23" width="8.28125" style="76" customWidth="1"/>
    <col min="24" max="24" width="8.00390625" style="76" customWidth="1"/>
    <col min="25" max="25" width="8.7109375" style="76" bestFit="1" customWidth="1"/>
    <col min="26" max="16384" width="9.140625" style="76" customWidth="1"/>
  </cols>
  <sheetData>
    <row r="1" ht="26.25">
      <c r="A1" s="75" t="s">
        <v>215</v>
      </c>
    </row>
    <row r="2" spans="2:21" ht="18">
      <c r="B2" s="77" t="s">
        <v>21</v>
      </c>
      <c r="C2" s="164" t="str">
        <f>'1. Sizing WorkSheet'!B2</f>
        <v>ShareIT.com</v>
      </c>
      <c r="D2" s="164"/>
      <c r="E2" s="164"/>
      <c r="F2" s="164"/>
      <c r="G2" s="164"/>
      <c r="H2" s="164"/>
      <c r="I2" s="164"/>
      <c r="J2" s="164"/>
      <c r="K2" s="164"/>
      <c r="L2" s="164"/>
      <c r="M2" s="164"/>
      <c r="N2" s="164"/>
      <c r="O2" s="164"/>
      <c r="P2" s="164"/>
      <c r="Q2" s="164"/>
      <c r="R2" s="164"/>
      <c r="S2" s="164"/>
      <c r="T2" s="164"/>
      <c r="U2" s="78" t="s">
        <v>219</v>
      </c>
    </row>
    <row r="3" spans="2:21" ht="18">
      <c r="B3" s="77" t="s">
        <v>22</v>
      </c>
      <c r="C3" s="164" t="str">
        <f>'1. Sizing WorkSheet'!B3</f>
        <v>Deep Rauniyar, Kalyan Govindu, Tyson Maxwell</v>
      </c>
      <c r="D3" s="164"/>
      <c r="E3" s="164"/>
      <c r="F3" s="164"/>
      <c r="G3" s="164"/>
      <c r="H3" s="164"/>
      <c r="I3" s="164"/>
      <c r="J3" s="164"/>
      <c r="K3" s="164"/>
      <c r="L3" s="164"/>
      <c r="M3" s="164"/>
      <c r="N3" s="164"/>
      <c r="O3" s="164"/>
      <c r="P3" s="164"/>
      <c r="Q3" s="164"/>
      <c r="R3" s="164"/>
      <c r="S3" s="164"/>
      <c r="T3" s="164"/>
      <c r="U3" s="78" t="s">
        <v>219</v>
      </c>
    </row>
    <row r="4" spans="4:11" ht="12.75">
      <c r="D4" s="79"/>
      <c r="I4" s="77"/>
      <c r="K4" s="77"/>
    </row>
    <row r="5" spans="4:11" ht="15.75">
      <c r="D5" s="79"/>
      <c r="F5" s="80" t="s">
        <v>35</v>
      </c>
      <c r="I5" s="81" t="s">
        <v>36</v>
      </c>
      <c r="K5" s="77"/>
    </row>
    <row r="6" spans="1:26" ht="74.25" customHeight="1" thickBot="1">
      <c r="A6" s="82"/>
      <c r="B6" s="83" t="s">
        <v>27</v>
      </c>
      <c r="C6" s="84" t="s">
        <v>37</v>
      </c>
      <c r="D6" s="84" t="s">
        <v>38</v>
      </c>
      <c r="E6" s="84" t="s">
        <v>39</v>
      </c>
      <c r="F6" s="85" t="s">
        <v>40</v>
      </c>
      <c r="G6" s="85" t="s">
        <v>41</v>
      </c>
      <c r="H6" s="84" t="s">
        <v>42</v>
      </c>
      <c r="I6" s="85" t="s">
        <v>43</v>
      </c>
      <c r="J6" s="85" t="s">
        <v>44</v>
      </c>
      <c r="K6" s="85" t="s">
        <v>45</v>
      </c>
      <c r="L6" s="84" t="s">
        <v>46</v>
      </c>
      <c r="M6" s="85" t="s">
        <v>47</v>
      </c>
      <c r="N6" s="85" t="s">
        <v>48</v>
      </c>
      <c r="O6" s="85" t="s">
        <v>49</v>
      </c>
      <c r="P6" s="85" t="s">
        <v>50</v>
      </c>
      <c r="Q6" s="84" t="s">
        <v>51</v>
      </c>
      <c r="R6" s="85" t="s">
        <v>150</v>
      </c>
      <c r="S6" s="85" t="s">
        <v>52</v>
      </c>
      <c r="T6" s="84" t="s">
        <v>53</v>
      </c>
      <c r="U6" s="86" t="s">
        <v>54</v>
      </c>
      <c r="V6" s="84" t="s">
        <v>55</v>
      </c>
      <c r="W6" s="87" t="s">
        <v>56</v>
      </c>
      <c r="X6" s="126" t="s">
        <v>81</v>
      </c>
      <c r="Y6" s="127" t="s">
        <v>82</v>
      </c>
      <c r="Z6" s="124" t="s">
        <v>83</v>
      </c>
    </row>
    <row r="7" spans="1:26" ht="13.5" customHeight="1">
      <c r="A7" s="88"/>
      <c r="B7" s="89"/>
      <c r="C7" s="90"/>
      <c r="D7" s="91"/>
      <c r="E7" s="73" t="s">
        <v>57</v>
      </c>
      <c r="F7" s="73" t="s">
        <v>57</v>
      </c>
      <c r="G7" s="73" t="s">
        <v>57</v>
      </c>
      <c r="H7" s="73" t="s">
        <v>57</v>
      </c>
      <c r="I7" s="73" t="s">
        <v>57</v>
      </c>
      <c r="J7" s="73" t="s">
        <v>57</v>
      </c>
      <c r="K7" s="73" t="s">
        <v>72</v>
      </c>
      <c r="L7" s="73" t="s">
        <v>57</v>
      </c>
      <c r="M7" s="73" t="s">
        <v>57</v>
      </c>
      <c r="N7" s="73" t="s">
        <v>57</v>
      </c>
      <c r="O7" s="73" t="s">
        <v>57</v>
      </c>
      <c r="P7" s="73" t="s">
        <v>57</v>
      </c>
      <c r="Q7" s="73" t="s">
        <v>73</v>
      </c>
      <c r="R7" s="73" t="s">
        <v>73</v>
      </c>
      <c r="S7" s="73" t="s">
        <v>72</v>
      </c>
      <c r="T7" s="90"/>
      <c r="U7" s="92"/>
      <c r="V7" s="90"/>
      <c r="W7" s="90"/>
      <c r="X7" s="125"/>
      <c r="Y7" s="132"/>
      <c r="Z7" s="128"/>
    </row>
    <row r="8" spans="1:26" ht="13.5" thickBot="1">
      <c r="A8" s="68">
        <v>1</v>
      </c>
      <c r="B8" s="69" t="str">
        <f>'1. Sizing WorkSheet'!B8</f>
        <v>About_Us.html</v>
      </c>
      <c r="C8" s="70">
        <f>'1. Sizing WorkSheet'!J8</f>
        <v>0.2</v>
      </c>
      <c r="D8" s="71">
        <v>1</v>
      </c>
      <c r="E8" s="72">
        <f>WhatCD(E7,1)</f>
        <v>1</v>
      </c>
      <c r="F8" s="72">
        <f>WhatCD(F7,2)</f>
        <v>1</v>
      </c>
      <c r="G8" s="72">
        <f>WhatCD(G7,3)</f>
        <v>1</v>
      </c>
      <c r="H8" s="72">
        <f>WhatCD(H7,4)</f>
        <v>1</v>
      </c>
      <c r="I8" s="72">
        <f>WhatCD(I7,5)</f>
        <v>1</v>
      </c>
      <c r="J8" s="72">
        <f>WhatCD(J7,6)</f>
        <v>1</v>
      </c>
      <c r="K8" s="72">
        <f>WhatCD(K7,7)</f>
        <v>0.8700000047683716</v>
      </c>
      <c r="L8" s="72">
        <f>WhatCD(L7,8)</f>
        <v>1</v>
      </c>
      <c r="M8" s="72">
        <f>WhatCD(M7,9)</f>
        <v>1</v>
      </c>
      <c r="N8" s="72">
        <f>WhatCD(N7,10)</f>
        <v>1</v>
      </c>
      <c r="O8" s="72">
        <f>WhatCD(O7,11)</f>
        <v>1</v>
      </c>
      <c r="P8" s="72">
        <f>WhatCD(P7,12)</f>
        <v>1</v>
      </c>
      <c r="Q8" s="72">
        <f>WhatCD(Q7,13)</f>
        <v>0.9100000262260437</v>
      </c>
      <c r="R8" s="72">
        <f>WhatCD(R7,14)</f>
        <v>0.9100000262260437</v>
      </c>
      <c r="S8" s="72">
        <f>WhatCD(S7,15)</f>
        <v>1.0800000429153442</v>
      </c>
      <c r="T8" s="93">
        <f>PRODUCT(D8:S8)</f>
        <v>0.7780828400312404</v>
      </c>
      <c r="U8" s="94" t="e">
        <f>WhatMM(C8,$K$28)</f>
        <v>#NAME?</v>
      </c>
      <c r="V8" s="70" t="e">
        <f>U8*T8</f>
        <v>#NAME?</v>
      </c>
      <c r="W8" s="70" t="e">
        <f>SafeDiv(C8,V8)</f>
        <v>#NAME?</v>
      </c>
      <c r="X8" s="70" t="e">
        <f>U8*$W$31</f>
        <v>#NAME?</v>
      </c>
      <c r="Y8" s="133" t="e">
        <f>X8*$W$32</f>
        <v>#NAME?</v>
      </c>
      <c r="Z8" s="129" t="e">
        <f>Y8*$W$33</f>
        <v>#NAME?</v>
      </c>
    </row>
    <row r="9" spans="1:26" ht="13.5" thickBot="1">
      <c r="A9" s="88"/>
      <c r="B9" s="95"/>
      <c r="C9" s="90"/>
      <c r="D9" s="91"/>
      <c r="E9" s="73" t="s">
        <v>57</v>
      </c>
      <c r="F9" s="73" t="s">
        <v>57</v>
      </c>
      <c r="G9" s="73" t="s">
        <v>57</v>
      </c>
      <c r="H9" s="73" t="s">
        <v>57</v>
      </c>
      <c r="I9" s="73" t="s">
        <v>57</v>
      </c>
      <c r="J9" s="73" t="s">
        <v>57</v>
      </c>
      <c r="K9" s="73" t="s">
        <v>72</v>
      </c>
      <c r="L9" s="73" t="s">
        <v>57</v>
      </c>
      <c r="M9" s="73" t="s">
        <v>57</v>
      </c>
      <c r="N9" s="73" t="s">
        <v>57</v>
      </c>
      <c r="O9" s="73" t="s">
        <v>57</v>
      </c>
      <c r="P9" s="73" t="s">
        <v>57</v>
      </c>
      <c r="Q9" s="73" t="s">
        <v>73</v>
      </c>
      <c r="R9" s="73" t="s">
        <v>73</v>
      </c>
      <c r="S9" s="73" t="s">
        <v>72</v>
      </c>
      <c r="T9" s="93"/>
      <c r="U9" s="92"/>
      <c r="V9" s="90"/>
      <c r="W9" s="90"/>
      <c r="X9" s="90"/>
      <c r="Y9" s="134"/>
      <c r="Z9" s="130"/>
    </row>
    <row r="10" spans="1:26" ht="13.5" thickBot="1">
      <c r="A10" s="68">
        <v>2</v>
      </c>
      <c r="B10" s="69" t="str">
        <f>'1. Sizing WorkSheet'!B9</f>
        <v>company_profile.html</v>
      </c>
      <c r="C10" s="70">
        <f>'1. Sizing WorkSheet'!J9</f>
        <v>0.2</v>
      </c>
      <c r="D10" s="71">
        <v>1</v>
      </c>
      <c r="E10" s="72">
        <f>WhatCD(E9,1)</f>
        <v>1</v>
      </c>
      <c r="F10" s="72">
        <f>WhatCD(F9,2)</f>
        <v>1</v>
      </c>
      <c r="G10" s="72">
        <f>WhatCD(G9,3)</f>
        <v>1</v>
      </c>
      <c r="H10" s="72">
        <f>WhatCD(H9,4)</f>
        <v>1</v>
      </c>
      <c r="I10" s="72">
        <f>WhatCD(I9,5)</f>
        <v>1</v>
      </c>
      <c r="J10" s="72">
        <f>WhatCD(J9,6)</f>
        <v>1</v>
      </c>
      <c r="K10" s="72">
        <f>WhatCD(K9,7)</f>
        <v>0.8700000047683716</v>
      </c>
      <c r="L10" s="72">
        <f>WhatCD(L9,8)</f>
        <v>1</v>
      </c>
      <c r="M10" s="72">
        <f>WhatCD(M9,9)</f>
        <v>1</v>
      </c>
      <c r="N10" s="72">
        <f>WhatCD(N9,10)</f>
        <v>1</v>
      </c>
      <c r="O10" s="72">
        <f>WhatCD(O9,11)</f>
        <v>1</v>
      </c>
      <c r="P10" s="72">
        <f>WhatCD(P9,12)</f>
        <v>1</v>
      </c>
      <c r="Q10" s="72">
        <f>WhatCD(Q9,13)</f>
        <v>0.9100000262260437</v>
      </c>
      <c r="R10" s="72">
        <f>WhatCD(R9,14)</f>
        <v>0.9100000262260437</v>
      </c>
      <c r="S10" s="72">
        <f>WhatCD(S9,15)</f>
        <v>1.0800000429153442</v>
      </c>
      <c r="T10" s="93">
        <f>PRODUCT(D10:S10)</f>
        <v>0.7780828400312404</v>
      </c>
      <c r="U10" s="94" t="e">
        <f>WhatMM(C10,$K$28)</f>
        <v>#NAME?</v>
      </c>
      <c r="V10" s="70" t="e">
        <f>U10*T10</f>
        <v>#NAME?</v>
      </c>
      <c r="W10" s="70" t="e">
        <f>SafeDiv(C10,V10)</f>
        <v>#NAME?</v>
      </c>
      <c r="X10" s="70" t="e">
        <f>U10*$W$31</f>
        <v>#NAME?</v>
      </c>
      <c r="Y10" s="133" t="e">
        <f>X10*$W$32</f>
        <v>#NAME?</v>
      </c>
      <c r="Z10" s="129" t="e">
        <f>Y10*$W$33</f>
        <v>#NAME?</v>
      </c>
    </row>
    <row r="11" spans="1:26" ht="13.5" thickBot="1">
      <c r="A11" s="88"/>
      <c r="B11" s="95"/>
      <c r="C11" s="90"/>
      <c r="D11" s="96"/>
      <c r="E11" s="73" t="s">
        <v>57</v>
      </c>
      <c r="F11" s="73" t="s">
        <v>57</v>
      </c>
      <c r="G11" s="73" t="s">
        <v>73</v>
      </c>
      <c r="H11" s="73" t="s">
        <v>57</v>
      </c>
      <c r="I11" s="73" t="s">
        <v>57</v>
      </c>
      <c r="J11" s="73" t="s">
        <v>57</v>
      </c>
      <c r="K11" s="73" t="s">
        <v>72</v>
      </c>
      <c r="L11" s="73" t="s">
        <v>57</v>
      </c>
      <c r="M11" s="73" t="s">
        <v>57</v>
      </c>
      <c r="N11" s="73" t="s">
        <v>57</v>
      </c>
      <c r="O11" s="73" t="s">
        <v>57</v>
      </c>
      <c r="P11" s="73" t="s">
        <v>57</v>
      </c>
      <c r="Q11" s="73" t="s">
        <v>57</v>
      </c>
      <c r="R11" s="73" t="s">
        <v>57</v>
      </c>
      <c r="S11" s="73" t="s">
        <v>72</v>
      </c>
      <c r="T11" s="93"/>
      <c r="U11" s="92"/>
      <c r="V11" s="90"/>
      <c r="W11" s="90"/>
      <c r="X11" s="90"/>
      <c r="Y11" s="134"/>
      <c r="Z11" s="130"/>
    </row>
    <row r="12" spans="1:26" ht="13.5" thickBot="1">
      <c r="A12" s="68">
        <v>3</v>
      </c>
      <c r="B12" s="69" t="str">
        <f>'1. Sizing WorkSheet'!B10</f>
        <v>User Screens</v>
      </c>
      <c r="C12" s="70">
        <f>'1. Sizing WorkSheet'!J10</f>
        <v>4.25</v>
      </c>
      <c r="D12" s="71">
        <v>1</v>
      </c>
      <c r="E12" s="72">
        <f>WhatCD(E11,1)</f>
        <v>1</v>
      </c>
      <c r="F12" s="72">
        <f>WhatCD(F11,2)</f>
        <v>1</v>
      </c>
      <c r="G12" s="72">
        <f>WhatCD(G11,3)</f>
        <v>1.149999976158142</v>
      </c>
      <c r="H12" s="72">
        <f>WhatCD(H11,4)</f>
        <v>1</v>
      </c>
      <c r="I12" s="72">
        <f>WhatCD(I11,5)</f>
        <v>1</v>
      </c>
      <c r="J12" s="72">
        <f>WhatCD(J11,6)</f>
        <v>1</v>
      </c>
      <c r="K12" s="72">
        <f>WhatCD(K11,7)</f>
        <v>0.8700000047683716</v>
      </c>
      <c r="L12" s="72">
        <f>WhatCD(L11,8)</f>
        <v>1</v>
      </c>
      <c r="M12" s="72">
        <f>WhatCD(M11,9)</f>
        <v>1</v>
      </c>
      <c r="N12" s="72">
        <f>WhatCD(N11,10)</f>
        <v>1</v>
      </c>
      <c r="O12" s="72">
        <f>WhatCD(O11,11)</f>
        <v>1</v>
      </c>
      <c r="P12" s="72">
        <f>WhatCD(P11,12)</f>
        <v>1</v>
      </c>
      <c r="Q12" s="72">
        <f>WhatCD(Q11,13)</f>
        <v>1</v>
      </c>
      <c r="R12" s="72">
        <f>WhatCD(R11,14)</f>
        <v>1</v>
      </c>
      <c r="S12" s="72">
        <f>WhatCD(S11,15)</f>
        <v>1.0800000429153442</v>
      </c>
      <c r="T12" s="93">
        <f>PRODUCT(D12:S12)</f>
        <v>1.0805400264573088</v>
      </c>
      <c r="U12" s="94" t="e">
        <f>WhatMM(C12,$K$28)</f>
        <v>#NAME?</v>
      </c>
      <c r="V12" s="70" t="e">
        <f>U12*T12</f>
        <v>#NAME?</v>
      </c>
      <c r="W12" s="70" t="e">
        <f>SafeDiv(C12,V12)</f>
        <v>#NAME?</v>
      </c>
      <c r="X12" s="70" t="e">
        <f>U12*$W$31</f>
        <v>#NAME?</v>
      </c>
      <c r="Y12" s="133" t="e">
        <f>X12*$W$32</f>
        <v>#NAME?</v>
      </c>
      <c r="Z12" s="129" t="e">
        <f>Y12*$W$33</f>
        <v>#NAME?</v>
      </c>
    </row>
    <row r="13" spans="1:26" ht="13.5" thickBot="1">
      <c r="A13" s="88"/>
      <c r="B13" s="95"/>
      <c r="C13" s="90"/>
      <c r="D13" s="96"/>
      <c r="E13" s="73" t="s">
        <v>57</v>
      </c>
      <c r="F13" s="73" t="s">
        <v>57</v>
      </c>
      <c r="G13" s="73" t="s">
        <v>73</v>
      </c>
      <c r="H13" s="73" t="s">
        <v>57</v>
      </c>
      <c r="I13" s="73" t="s">
        <v>57</v>
      </c>
      <c r="J13" s="73" t="s">
        <v>57</v>
      </c>
      <c r="K13" s="73" t="s">
        <v>72</v>
      </c>
      <c r="L13" s="73" t="s">
        <v>57</v>
      </c>
      <c r="M13" s="73" t="s">
        <v>57</v>
      </c>
      <c r="N13" s="73" t="s">
        <v>57</v>
      </c>
      <c r="O13" s="73" t="s">
        <v>57</v>
      </c>
      <c r="P13" s="73" t="s">
        <v>57</v>
      </c>
      <c r="Q13" s="73" t="s">
        <v>57</v>
      </c>
      <c r="R13" s="73" t="s">
        <v>57</v>
      </c>
      <c r="S13" s="73" t="s">
        <v>72</v>
      </c>
      <c r="T13" s="93"/>
      <c r="U13" s="92"/>
      <c r="V13" s="90"/>
      <c r="W13" s="90"/>
      <c r="X13" s="90"/>
      <c r="Y13" s="134"/>
      <c r="Z13" s="130"/>
    </row>
    <row r="14" spans="1:26" ht="13.5" thickBot="1">
      <c r="A14" s="68">
        <v>4</v>
      </c>
      <c r="B14" s="69" t="str">
        <f>'1. Sizing WorkSheet'!B11</f>
        <v>Item Screens</v>
      </c>
      <c r="C14" s="70">
        <f>'1. Sizing WorkSheet'!J11</f>
        <v>4</v>
      </c>
      <c r="D14" s="71">
        <v>1</v>
      </c>
      <c r="E14" s="72">
        <f>WhatCD(E13,1)</f>
        <v>1</v>
      </c>
      <c r="F14" s="72">
        <f>WhatCD(F13,2)</f>
        <v>1</v>
      </c>
      <c r="G14" s="72">
        <f>WhatCD(G13,3)</f>
        <v>1.149999976158142</v>
      </c>
      <c r="H14" s="72">
        <f>WhatCD(H13,4)</f>
        <v>1</v>
      </c>
      <c r="I14" s="72">
        <f>WhatCD(I13,5)</f>
        <v>1</v>
      </c>
      <c r="J14" s="72">
        <f>WhatCD(J13,6)</f>
        <v>1</v>
      </c>
      <c r="K14" s="72">
        <f>WhatCD(K13,7)</f>
        <v>0.8700000047683716</v>
      </c>
      <c r="L14" s="72">
        <f>WhatCD(L13,8)</f>
        <v>1</v>
      </c>
      <c r="M14" s="72">
        <f>WhatCD(M13,9)</f>
        <v>1</v>
      </c>
      <c r="N14" s="72">
        <f>WhatCD(N13,10)</f>
        <v>1</v>
      </c>
      <c r="O14" s="72">
        <f>WhatCD(O13,11)</f>
        <v>1</v>
      </c>
      <c r="P14" s="72">
        <f>WhatCD(P13,12)</f>
        <v>1</v>
      </c>
      <c r="Q14" s="72">
        <f>WhatCD(Q13,13)</f>
        <v>1</v>
      </c>
      <c r="R14" s="72">
        <f>WhatCD(R13,14)</f>
        <v>1</v>
      </c>
      <c r="S14" s="72">
        <f>WhatCD(S13,15)</f>
        <v>1.0800000429153442</v>
      </c>
      <c r="T14" s="93">
        <f>PRODUCT(D14:S14)</f>
        <v>1.0805400264573088</v>
      </c>
      <c r="U14" s="94" t="e">
        <f>WhatMM(C14,$K$28)</f>
        <v>#NAME?</v>
      </c>
      <c r="V14" s="70" t="e">
        <f>U14*T14</f>
        <v>#NAME?</v>
      </c>
      <c r="W14" s="70" t="e">
        <f>SafeDiv(C14,V14)</f>
        <v>#NAME?</v>
      </c>
      <c r="X14" s="70" t="e">
        <f>U14*$W$31</f>
        <v>#NAME?</v>
      </c>
      <c r="Y14" s="133" t="e">
        <f>X14*$W$32</f>
        <v>#NAME?</v>
      </c>
      <c r="Z14" s="129" t="e">
        <f>Y14*$W$33</f>
        <v>#NAME?</v>
      </c>
    </row>
    <row r="15" spans="1:26" ht="13.5" thickBot="1">
      <c r="A15" s="88"/>
      <c r="B15" s="95"/>
      <c r="C15" s="90"/>
      <c r="D15" s="96"/>
      <c r="E15" s="73" t="s">
        <v>57</v>
      </c>
      <c r="F15" s="73" t="s">
        <v>57</v>
      </c>
      <c r="G15" s="73" t="s">
        <v>73</v>
      </c>
      <c r="H15" s="73" t="s">
        <v>57</v>
      </c>
      <c r="I15" s="73" t="s">
        <v>57</v>
      </c>
      <c r="J15" s="73" t="s">
        <v>57</v>
      </c>
      <c r="K15" s="73" t="s">
        <v>72</v>
      </c>
      <c r="L15" s="73" t="s">
        <v>57</v>
      </c>
      <c r="M15" s="73" t="s">
        <v>57</v>
      </c>
      <c r="N15" s="73" t="s">
        <v>57</v>
      </c>
      <c r="O15" s="73" t="s">
        <v>57</v>
      </c>
      <c r="P15" s="73" t="s">
        <v>57</v>
      </c>
      <c r="Q15" s="73" t="s">
        <v>73</v>
      </c>
      <c r="R15" s="73" t="s">
        <v>73</v>
      </c>
      <c r="S15" s="73" t="s">
        <v>72</v>
      </c>
      <c r="T15" s="93"/>
      <c r="U15" s="92"/>
      <c r="V15" s="90"/>
      <c r="W15" s="90"/>
      <c r="X15" s="90"/>
      <c r="Y15" s="134"/>
      <c r="Z15" s="130"/>
    </row>
    <row r="16" spans="1:26" ht="13.5" thickBot="1">
      <c r="A16" s="68">
        <v>5</v>
      </c>
      <c r="B16" s="69" t="str">
        <f>'1. Sizing WorkSheet'!B12</f>
        <v>Friend Screens</v>
      </c>
      <c r="C16" s="70">
        <f>'1. Sizing WorkSheet'!J12</f>
        <v>5</v>
      </c>
      <c r="D16" s="71">
        <v>1</v>
      </c>
      <c r="E16" s="72">
        <f>WhatCD(E15,1)</f>
        <v>1</v>
      </c>
      <c r="F16" s="72">
        <f>WhatCD(F15,2)</f>
        <v>1</v>
      </c>
      <c r="G16" s="72">
        <f>WhatCD(G15,3)</f>
        <v>1.149999976158142</v>
      </c>
      <c r="H16" s="72">
        <f>WhatCD(H15,4)</f>
        <v>1</v>
      </c>
      <c r="I16" s="72">
        <f>WhatCD(I15,5)</f>
        <v>1</v>
      </c>
      <c r="J16" s="72">
        <f>WhatCD(J15,6)</f>
        <v>1</v>
      </c>
      <c r="K16" s="72">
        <f>WhatCD(K15,7)</f>
        <v>0.8700000047683716</v>
      </c>
      <c r="L16" s="72">
        <f>WhatCD(L15,8)</f>
        <v>1</v>
      </c>
      <c r="M16" s="72">
        <f>WhatCD(M15,9)</f>
        <v>1</v>
      </c>
      <c r="N16" s="72">
        <f>WhatCD(N15,10)</f>
        <v>1</v>
      </c>
      <c r="O16" s="72">
        <f>WhatCD(O15,11)</f>
        <v>1</v>
      </c>
      <c r="P16" s="72">
        <f>WhatCD(P15,12)</f>
        <v>1</v>
      </c>
      <c r="Q16" s="72">
        <f>WhatCD(Q15,13)</f>
        <v>0.9100000262260437</v>
      </c>
      <c r="R16" s="72">
        <f>WhatCD(R15,14)</f>
        <v>0.9100000262260437</v>
      </c>
      <c r="S16" s="72">
        <f>WhatCD(S15,15)</f>
        <v>1.0800000429153442</v>
      </c>
      <c r="T16" s="93">
        <f>PRODUCT(D16:S16)</f>
        <v>0.8947952474849861</v>
      </c>
      <c r="U16" s="94" t="e">
        <f>WhatMM(C16,$K$28)</f>
        <v>#NAME?</v>
      </c>
      <c r="V16" s="70" t="e">
        <f>U16*T16</f>
        <v>#NAME?</v>
      </c>
      <c r="W16" s="70" t="e">
        <f>SafeDiv(C16,V16)</f>
        <v>#NAME?</v>
      </c>
      <c r="X16" s="70" t="e">
        <f>U16*$W$31</f>
        <v>#NAME?</v>
      </c>
      <c r="Y16" s="133" t="e">
        <f>X16*$W$32</f>
        <v>#NAME?</v>
      </c>
      <c r="Z16" s="129" t="e">
        <f>Y16*$W$33</f>
        <v>#NAME?</v>
      </c>
    </row>
    <row r="17" spans="1:26" ht="13.5" thickBot="1">
      <c r="A17" s="88"/>
      <c r="B17" s="95"/>
      <c r="C17" s="90"/>
      <c r="D17" s="96" t="s">
        <v>218</v>
      </c>
      <c r="E17" s="73" t="s">
        <v>57</v>
      </c>
      <c r="F17" s="73" t="s">
        <v>57</v>
      </c>
      <c r="G17" s="73" t="s">
        <v>73</v>
      </c>
      <c r="H17" s="73" t="s">
        <v>57</v>
      </c>
      <c r="I17" s="73" t="s">
        <v>57</v>
      </c>
      <c r="J17" s="73" t="s">
        <v>57</v>
      </c>
      <c r="K17" s="73" t="s">
        <v>72</v>
      </c>
      <c r="L17" s="73" t="s">
        <v>57</v>
      </c>
      <c r="M17" s="73" t="s">
        <v>57</v>
      </c>
      <c r="N17" s="73" t="s">
        <v>57</v>
      </c>
      <c r="O17" s="73" t="s">
        <v>57</v>
      </c>
      <c r="P17" s="73" t="s">
        <v>57</v>
      </c>
      <c r="Q17" s="73" t="s">
        <v>73</v>
      </c>
      <c r="R17" s="73" t="s">
        <v>73</v>
      </c>
      <c r="S17" s="73" t="s">
        <v>72</v>
      </c>
      <c r="T17" s="93"/>
      <c r="U17" s="92"/>
      <c r="V17" s="90"/>
      <c r="W17" s="90"/>
      <c r="X17" s="90"/>
      <c r="Y17" s="134"/>
      <c r="Z17" s="130"/>
    </row>
    <row r="18" spans="1:26" ht="13.5" thickBot="1">
      <c r="A18" s="68">
        <v>6</v>
      </c>
      <c r="B18" s="69" t="str">
        <f>'1. Sizing WorkSheet'!B13</f>
        <v>User Database</v>
      </c>
      <c r="C18" s="70">
        <f>'1. Sizing WorkSheet'!J13</f>
        <v>0.78</v>
      </c>
      <c r="D18" s="71">
        <v>1</v>
      </c>
      <c r="E18" s="72">
        <f>WhatCD(E17,1)</f>
        <v>1</v>
      </c>
      <c r="F18" s="72">
        <f>WhatCD(F17,2)</f>
        <v>1</v>
      </c>
      <c r="G18" s="72">
        <f>WhatCD(G17,3)</f>
        <v>1.149999976158142</v>
      </c>
      <c r="H18" s="72">
        <f>WhatCD(H17,4)</f>
        <v>1</v>
      </c>
      <c r="I18" s="72">
        <f>WhatCD(I17,5)</f>
        <v>1</v>
      </c>
      <c r="J18" s="72">
        <f>WhatCD(J17,6)</f>
        <v>1</v>
      </c>
      <c r="K18" s="72">
        <f>WhatCD(K17,7)</f>
        <v>0.8700000047683716</v>
      </c>
      <c r="L18" s="72">
        <f>WhatCD(L17,8)</f>
        <v>1</v>
      </c>
      <c r="M18" s="72">
        <f>WhatCD(M17,9)</f>
        <v>1</v>
      </c>
      <c r="N18" s="72">
        <f>WhatCD(N17,10)</f>
        <v>1</v>
      </c>
      <c r="O18" s="72">
        <f>WhatCD(O17,11)</f>
        <v>1</v>
      </c>
      <c r="P18" s="72">
        <f>WhatCD(P17,12)</f>
        <v>1</v>
      </c>
      <c r="Q18" s="72">
        <f>WhatCD(Q17,13)</f>
        <v>0.9100000262260437</v>
      </c>
      <c r="R18" s="72">
        <f>WhatCD(R17,14)</f>
        <v>0.9100000262260437</v>
      </c>
      <c r="S18" s="72">
        <f>WhatCD(S17,15)</f>
        <v>1.0800000429153442</v>
      </c>
      <c r="T18" s="93">
        <f>PRODUCT(D18:S18)</f>
        <v>0.8947952474849861</v>
      </c>
      <c r="U18" s="94" t="e">
        <f>WhatMM(C18,$K$28)</f>
        <v>#NAME?</v>
      </c>
      <c r="V18" s="70" t="e">
        <f>U18*T18</f>
        <v>#NAME?</v>
      </c>
      <c r="W18" s="70" t="e">
        <f>SafeDiv(C18,V18)</f>
        <v>#NAME?</v>
      </c>
      <c r="X18" s="70" t="e">
        <f>U18*$W$31</f>
        <v>#NAME?</v>
      </c>
      <c r="Y18" s="133" t="e">
        <f>X18*$W$32</f>
        <v>#NAME?</v>
      </c>
      <c r="Z18" s="129" t="e">
        <f>Y18*$W$33</f>
        <v>#NAME?</v>
      </c>
    </row>
    <row r="19" spans="1:26" ht="13.5" thickBot="1">
      <c r="A19" s="88"/>
      <c r="B19" s="95"/>
      <c r="C19" s="90"/>
      <c r="D19" s="96"/>
      <c r="E19" s="73" t="s">
        <v>57</v>
      </c>
      <c r="F19" s="73" t="s">
        <v>57</v>
      </c>
      <c r="G19" s="73" t="s">
        <v>57</v>
      </c>
      <c r="H19" s="73" t="s">
        <v>57</v>
      </c>
      <c r="I19" s="73" t="s">
        <v>57</v>
      </c>
      <c r="J19" s="73" t="s">
        <v>57</v>
      </c>
      <c r="K19" s="73" t="s">
        <v>72</v>
      </c>
      <c r="L19" s="73" t="s">
        <v>57</v>
      </c>
      <c r="M19" s="73" t="s">
        <v>57</v>
      </c>
      <c r="N19" s="73" t="s">
        <v>57</v>
      </c>
      <c r="O19" s="73" t="s">
        <v>57</v>
      </c>
      <c r="P19" s="73" t="s">
        <v>57</v>
      </c>
      <c r="Q19" s="73" t="s">
        <v>73</v>
      </c>
      <c r="R19" s="73" t="s">
        <v>73</v>
      </c>
      <c r="S19" s="73" t="s">
        <v>72</v>
      </c>
      <c r="T19" s="93"/>
      <c r="U19" s="92"/>
      <c r="V19" s="90"/>
      <c r="W19" s="90"/>
      <c r="X19" s="90"/>
      <c r="Y19" s="134"/>
      <c r="Z19" s="130"/>
    </row>
    <row r="20" spans="1:26" ht="13.5" thickBot="1">
      <c r="A20" s="68">
        <v>7</v>
      </c>
      <c r="B20" s="69" t="str">
        <f>'1. Sizing WorkSheet'!B14</f>
        <v>Product Database</v>
      </c>
      <c r="C20" s="70">
        <f>'1. Sizing WorkSheet'!J14</f>
        <v>1.44</v>
      </c>
      <c r="D20" s="71">
        <v>0.5</v>
      </c>
      <c r="E20" s="72">
        <f>WhatCD(E19,1)</f>
        <v>1</v>
      </c>
      <c r="F20" s="72">
        <f>WhatCD(F19,2)</f>
        <v>1</v>
      </c>
      <c r="G20" s="72">
        <f>WhatCD(G19,3)</f>
        <v>1</v>
      </c>
      <c r="H20" s="72">
        <f>WhatCD(H19,4)</f>
        <v>1</v>
      </c>
      <c r="I20" s="72">
        <f>WhatCD(I19,5)</f>
        <v>1</v>
      </c>
      <c r="J20" s="72">
        <f>WhatCD(J19,6)</f>
        <v>1</v>
      </c>
      <c r="K20" s="72">
        <f>WhatCD(K19,7)</f>
        <v>0.8700000047683716</v>
      </c>
      <c r="L20" s="72">
        <f>WhatCD(L19,8)</f>
        <v>1</v>
      </c>
      <c r="M20" s="72">
        <f>WhatCD(M19,9)</f>
        <v>1</v>
      </c>
      <c r="N20" s="72">
        <f>WhatCD(N19,10)</f>
        <v>1</v>
      </c>
      <c r="O20" s="72">
        <f>WhatCD(O19,11)</f>
        <v>1</v>
      </c>
      <c r="P20" s="72">
        <f>WhatCD(P19,12)</f>
        <v>1</v>
      </c>
      <c r="Q20" s="72">
        <f>WhatCD(Q19,13)</f>
        <v>0.9100000262260437</v>
      </c>
      <c r="R20" s="72">
        <f>WhatCD(R19,14)</f>
        <v>0.9100000262260437</v>
      </c>
      <c r="S20" s="72">
        <f>WhatCD(S19,15)</f>
        <v>1.0800000429153442</v>
      </c>
      <c r="T20" s="93">
        <f>PRODUCT(D20:S20)</f>
        <v>0.3890414200156202</v>
      </c>
      <c r="U20" s="94" t="e">
        <f>WhatMM(C20,$K$28)</f>
        <v>#NAME?</v>
      </c>
      <c r="V20" s="70" t="e">
        <f>U20*T20</f>
        <v>#NAME?</v>
      </c>
      <c r="W20" s="70" t="e">
        <f>SafeDiv(C20,V20)</f>
        <v>#NAME?</v>
      </c>
      <c r="X20" s="70" t="e">
        <f>U20*$W$31</f>
        <v>#NAME?</v>
      </c>
      <c r="Y20" s="133" t="e">
        <f>X20*$W$32</f>
        <v>#NAME?</v>
      </c>
      <c r="Z20" s="129" t="e">
        <f>Y20*$W$33</f>
        <v>#NAME?</v>
      </c>
    </row>
    <row r="21" spans="1:26" ht="13.5" thickBot="1">
      <c r="A21" s="88"/>
      <c r="B21" s="95"/>
      <c r="C21" s="90"/>
      <c r="D21" s="96"/>
      <c r="E21" s="73" t="s">
        <v>57</v>
      </c>
      <c r="F21" s="73" t="s">
        <v>57</v>
      </c>
      <c r="G21" s="73" t="s">
        <v>57</v>
      </c>
      <c r="H21" s="73" t="s">
        <v>57</v>
      </c>
      <c r="I21" s="73" t="s">
        <v>57</v>
      </c>
      <c r="J21" s="73" t="s">
        <v>57</v>
      </c>
      <c r="K21" s="73" t="s">
        <v>72</v>
      </c>
      <c r="L21" s="73" t="s">
        <v>57</v>
      </c>
      <c r="M21" s="73" t="s">
        <v>57</v>
      </c>
      <c r="N21" s="73" t="s">
        <v>57</v>
      </c>
      <c r="O21" s="73" t="s">
        <v>57</v>
      </c>
      <c r="P21" s="73" t="s">
        <v>57</v>
      </c>
      <c r="Q21" s="73" t="s">
        <v>73</v>
      </c>
      <c r="R21" s="73" t="s">
        <v>73</v>
      </c>
      <c r="S21" s="73" t="s">
        <v>72</v>
      </c>
      <c r="T21" s="93"/>
      <c r="U21" s="92"/>
      <c r="V21" s="90"/>
      <c r="W21" s="90"/>
      <c r="X21" s="90"/>
      <c r="Y21" s="134"/>
      <c r="Z21" s="130"/>
    </row>
    <row r="22" spans="1:26" ht="13.5" thickBot="1">
      <c r="A22" s="68">
        <v>8</v>
      </c>
      <c r="B22" s="69" t="str">
        <f>'1. Sizing WorkSheet'!B15</f>
        <v>Administration Screens</v>
      </c>
      <c r="C22" s="70">
        <f>'1. Sizing WorkSheet'!J15</f>
        <v>0</v>
      </c>
      <c r="D22" s="71">
        <v>0.5</v>
      </c>
      <c r="E22" s="72">
        <f>WhatCD(E21,1)</f>
        <v>1</v>
      </c>
      <c r="F22" s="72">
        <f>WhatCD(F21,2)</f>
        <v>1</v>
      </c>
      <c r="G22" s="72">
        <f>WhatCD(G21,3)</f>
        <v>1</v>
      </c>
      <c r="H22" s="72">
        <f>WhatCD(H21,4)</f>
        <v>1</v>
      </c>
      <c r="I22" s="72">
        <f>WhatCD(I21,5)</f>
        <v>1</v>
      </c>
      <c r="J22" s="72">
        <f>WhatCD(J21,6)</f>
        <v>1</v>
      </c>
      <c r="K22" s="72">
        <f>WhatCD(K21,7)</f>
        <v>0.8700000047683716</v>
      </c>
      <c r="L22" s="72">
        <f>WhatCD(L21,8)</f>
        <v>1</v>
      </c>
      <c r="M22" s="72">
        <f>WhatCD(M21,9)</f>
        <v>1</v>
      </c>
      <c r="N22" s="72">
        <f>WhatCD(N21,10)</f>
        <v>1</v>
      </c>
      <c r="O22" s="72">
        <f>WhatCD(O21,11)</f>
        <v>1</v>
      </c>
      <c r="P22" s="72">
        <f>WhatCD(P21,12)</f>
        <v>1</v>
      </c>
      <c r="Q22" s="72">
        <f>WhatCD(Q21,13)</f>
        <v>0.9100000262260437</v>
      </c>
      <c r="R22" s="72">
        <f>WhatCD(R21,14)</f>
        <v>0.9100000262260437</v>
      </c>
      <c r="S22" s="72">
        <f>WhatCD(S21,15)</f>
        <v>1.0800000429153442</v>
      </c>
      <c r="T22" s="93">
        <f>PRODUCT(D22:S22)</f>
        <v>0.3890414200156202</v>
      </c>
      <c r="U22" s="94" t="e">
        <f>WhatMM(C22,$K$28)</f>
        <v>#NAME?</v>
      </c>
      <c r="V22" s="70" t="e">
        <f>U22*T22</f>
        <v>#NAME?</v>
      </c>
      <c r="W22" s="70" t="e">
        <f>SafeDiv(C22,V22)</f>
        <v>#NAME?</v>
      </c>
      <c r="X22" s="70" t="e">
        <f>U22*$W$31</f>
        <v>#NAME?</v>
      </c>
      <c r="Y22" s="133" t="e">
        <f>X22*$W$32</f>
        <v>#NAME?</v>
      </c>
      <c r="Z22" s="129" t="e">
        <f>Y22*$W$33</f>
        <v>#NAME?</v>
      </c>
    </row>
    <row r="23" spans="1:26" ht="13.5" thickBot="1">
      <c r="A23" s="88"/>
      <c r="B23" s="95"/>
      <c r="C23" s="90"/>
      <c r="D23" s="96"/>
      <c r="E23" s="73" t="s">
        <v>57</v>
      </c>
      <c r="F23" s="73" t="s">
        <v>57</v>
      </c>
      <c r="G23" s="73" t="s">
        <v>73</v>
      </c>
      <c r="H23" s="73" t="s">
        <v>57</v>
      </c>
      <c r="I23" s="73" t="s">
        <v>57</v>
      </c>
      <c r="J23" s="73" t="s">
        <v>57</v>
      </c>
      <c r="K23" s="73" t="s">
        <v>72</v>
      </c>
      <c r="L23" s="73" t="s">
        <v>57</v>
      </c>
      <c r="M23" s="73" t="s">
        <v>57</v>
      </c>
      <c r="N23" s="73" t="s">
        <v>57</v>
      </c>
      <c r="O23" s="73" t="s">
        <v>57</v>
      </c>
      <c r="P23" s="73" t="s">
        <v>57</v>
      </c>
      <c r="Q23" s="73" t="s">
        <v>73</v>
      </c>
      <c r="R23" s="73" t="s">
        <v>73</v>
      </c>
      <c r="S23" s="73" t="s">
        <v>72</v>
      </c>
      <c r="T23" s="93"/>
      <c r="U23" s="92"/>
      <c r="V23" s="90"/>
      <c r="W23" s="90"/>
      <c r="X23" s="90"/>
      <c r="Y23" s="134"/>
      <c r="Z23" s="130"/>
    </row>
    <row r="24" spans="1:26" ht="13.5" thickBot="1">
      <c r="A24" s="68">
        <v>9</v>
      </c>
      <c r="B24" s="69">
        <f>'1. Sizing WorkSheet'!B16</f>
        <v>0</v>
      </c>
      <c r="C24" s="70">
        <f>'1. Sizing WorkSheet'!J16</f>
        <v>0</v>
      </c>
      <c r="D24" s="71">
        <v>1</v>
      </c>
      <c r="E24" s="72">
        <f>WhatCD(E23,1)</f>
        <v>1</v>
      </c>
      <c r="F24" s="72">
        <f>WhatCD(F23,2)</f>
        <v>1</v>
      </c>
      <c r="G24" s="72">
        <f>WhatCD(G23,3)</f>
        <v>1.149999976158142</v>
      </c>
      <c r="H24" s="72">
        <f>WhatCD(H23,4)</f>
        <v>1</v>
      </c>
      <c r="I24" s="72">
        <f>WhatCD(I23,5)</f>
        <v>1</v>
      </c>
      <c r="J24" s="72">
        <f>WhatCD(J23,6)</f>
        <v>1</v>
      </c>
      <c r="K24" s="72">
        <f>WhatCD(K23,7)</f>
        <v>0.8700000047683716</v>
      </c>
      <c r="L24" s="72">
        <f>WhatCD(L23,8)</f>
        <v>1</v>
      </c>
      <c r="M24" s="72">
        <f>WhatCD(M23,9)</f>
        <v>1</v>
      </c>
      <c r="N24" s="72">
        <f>WhatCD(N23,10)</f>
        <v>1</v>
      </c>
      <c r="O24" s="72">
        <f>WhatCD(O23,11)</f>
        <v>1</v>
      </c>
      <c r="P24" s="72">
        <f>WhatCD(P23,12)</f>
        <v>1</v>
      </c>
      <c r="Q24" s="72">
        <f>WhatCD(Q23,13)</f>
        <v>0.9100000262260437</v>
      </c>
      <c r="R24" s="72">
        <f>WhatCD(R23,14)</f>
        <v>0.9100000262260437</v>
      </c>
      <c r="S24" s="72">
        <f>WhatCD(S23,15)</f>
        <v>1.0800000429153442</v>
      </c>
      <c r="T24" s="93">
        <f>PRODUCT(D24:S24)</f>
        <v>0.8947952474849861</v>
      </c>
      <c r="U24" s="94" t="e">
        <f>WhatMM(C24,$K$28)</f>
        <v>#NAME?</v>
      </c>
      <c r="V24" s="70" t="e">
        <f>U24*T24</f>
        <v>#NAME?</v>
      </c>
      <c r="W24" s="70" t="e">
        <f>SafeDiv(C24,V24)</f>
        <v>#NAME?</v>
      </c>
      <c r="X24" s="70" t="e">
        <f>U24*$W$31</f>
        <v>#NAME?</v>
      </c>
      <c r="Y24" s="133" t="e">
        <f>X24*$W$32</f>
        <v>#NAME?</v>
      </c>
      <c r="Z24" s="129" t="e">
        <f>Y24*$W$33</f>
        <v>#NAME?</v>
      </c>
    </row>
    <row r="25" spans="1:26" ht="13.5" thickBot="1">
      <c r="A25" s="88"/>
      <c r="B25" s="95"/>
      <c r="C25" s="90"/>
      <c r="D25" s="96"/>
      <c r="E25" s="73" t="s">
        <v>57</v>
      </c>
      <c r="F25" s="73" t="s">
        <v>57</v>
      </c>
      <c r="G25" s="73" t="s">
        <v>73</v>
      </c>
      <c r="H25" s="73" t="s">
        <v>57</v>
      </c>
      <c r="I25" s="73" t="s">
        <v>57</v>
      </c>
      <c r="J25" s="73" t="s">
        <v>57</v>
      </c>
      <c r="K25" s="73" t="s">
        <v>72</v>
      </c>
      <c r="L25" s="73" t="s">
        <v>57</v>
      </c>
      <c r="M25" s="73" t="s">
        <v>57</v>
      </c>
      <c r="N25" s="73" t="s">
        <v>57</v>
      </c>
      <c r="O25" s="73" t="s">
        <v>57</v>
      </c>
      <c r="P25" s="73" t="s">
        <v>57</v>
      </c>
      <c r="Q25" s="73" t="s">
        <v>73</v>
      </c>
      <c r="R25" s="73" t="s">
        <v>73</v>
      </c>
      <c r="S25" s="73" t="s">
        <v>72</v>
      </c>
      <c r="T25" s="93"/>
      <c r="U25" s="92"/>
      <c r="V25" s="90"/>
      <c r="W25" s="90"/>
      <c r="X25" s="90"/>
      <c r="Y25" s="134"/>
      <c r="Z25" s="130"/>
    </row>
    <row r="26" spans="1:26" ht="13.5" thickBot="1">
      <c r="A26" s="97">
        <v>10</v>
      </c>
      <c r="B26" s="69">
        <f>'1. Sizing WorkSheet'!B17</f>
        <v>0</v>
      </c>
      <c r="C26" s="70">
        <f>'1. Sizing WorkSheet'!J17</f>
        <v>0</v>
      </c>
      <c r="D26" s="98">
        <v>1</v>
      </c>
      <c r="E26" s="72">
        <f>WhatCD(E25,1)</f>
        <v>1</v>
      </c>
      <c r="F26" s="72">
        <f>WhatCD(F25,2)</f>
        <v>1</v>
      </c>
      <c r="G26" s="72">
        <f>WhatCD(G25,3)</f>
        <v>1.149999976158142</v>
      </c>
      <c r="H26" s="72">
        <f>WhatCD(H25,4)</f>
        <v>1</v>
      </c>
      <c r="I26" s="72">
        <f>WhatCD(I25,5)</f>
        <v>1</v>
      </c>
      <c r="J26" s="72">
        <f>WhatCD(J25,6)</f>
        <v>1</v>
      </c>
      <c r="K26" s="72">
        <f>WhatCD(K25,7)</f>
        <v>0.8700000047683716</v>
      </c>
      <c r="L26" s="72">
        <f>WhatCD(L25,8)</f>
        <v>1</v>
      </c>
      <c r="M26" s="72">
        <f>WhatCD(M25,9)</f>
        <v>1</v>
      </c>
      <c r="N26" s="72">
        <f>WhatCD(N25,10)</f>
        <v>1</v>
      </c>
      <c r="O26" s="72">
        <f>WhatCD(O25,11)</f>
        <v>1</v>
      </c>
      <c r="P26" s="72">
        <f>WhatCD(P25,12)</f>
        <v>1</v>
      </c>
      <c r="Q26" s="72">
        <f>WhatCD(Q25,13)</f>
        <v>0.9100000262260437</v>
      </c>
      <c r="R26" s="72">
        <f>WhatCD(R25,14)</f>
        <v>0.9100000262260437</v>
      </c>
      <c r="S26" s="72">
        <f>WhatCD(S25,15)</f>
        <v>1.0800000429153442</v>
      </c>
      <c r="T26" s="93">
        <f>PRODUCT(D26:S26)</f>
        <v>0.8947952474849861</v>
      </c>
      <c r="U26" s="94" t="e">
        <f>WhatMM(C26,$K$28)</f>
        <v>#NAME?</v>
      </c>
      <c r="V26" s="70" t="e">
        <f>U26*T26</f>
        <v>#NAME?</v>
      </c>
      <c r="W26" s="70" t="e">
        <f>SafeDiv(C26,V26)</f>
        <v>#NAME?</v>
      </c>
      <c r="X26" s="70" t="e">
        <f>U26*$W$31</f>
        <v>#NAME?</v>
      </c>
      <c r="Y26" s="133" t="e">
        <f>X26*$W$32</f>
        <v>#NAME?</v>
      </c>
      <c r="Z26" s="131" t="e">
        <f>Y26*$W$33</f>
        <v>#NAME?</v>
      </c>
    </row>
    <row r="27" spans="1:26" ht="21.75" customHeight="1" thickBot="1" thickTop="1">
      <c r="A27" s="99">
        <v>11</v>
      </c>
      <c r="B27" s="100" t="s">
        <v>58</v>
      </c>
      <c r="C27" s="101">
        <f>C26+C24+C22+C20+C18+C16+C14+C12+C10+C8</f>
        <v>15.869999999999997</v>
      </c>
      <c r="K27" s="102"/>
      <c r="L27" s="102"/>
      <c r="M27" s="102"/>
      <c r="N27" s="102"/>
      <c r="O27" s="102"/>
      <c r="P27" s="102"/>
      <c r="R27" s="103"/>
      <c r="S27" s="104" t="s">
        <v>59</v>
      </c>
      <c r="T27" s="103"/>
      <c r="U27" s="105" t="s">
        <v>60</v>
      </c>
      <c r="V27" s="122" t="e">
        <f>V26+V24+V22+V20+V18+V16+V14+V12+V10+V8</f>
        <v>#NAME?</v>
      </c>
      <c r="W27" s="122" t="e">
        <f>W26+W24+W22+W20+W18+W16+W14+W12+W10+W8</f>
        <v>#NAME?</v>
      </c>
      <c r="X27" s="123" t="e">
        <f>SUM(X7:X26)</f>
        <v>#NAME?</v>
      </c>
      <c r="Y27" s="123" t="e">
        <f>SUM(Y7:Y26)</f>
        <v>#NAME?</v>
      </c>
      <c r="Z27" s="123" t="e">
        <f>SUM(Z7:Z26)</f>
        <v>#NAME?</v>
      </c>
    </row>
    <row r="28" spans="1:23" ht="21" customHeight="1" thickBot="1" thickTop="1">
      <c r="A28" s="99">
        <v>12</v>
      </c>
      <c r="B28" s="100" t="s">
        <v>61</v>
      </c>
      <c r="C28" s="101" t="e">
        <f>WhatMM(C27,$K$28)</f>
        <v>#NAME?</v>
      </c>
      <c r="E28" s="80" t="s">
        <v>62</v>
      </c>
      <c r="K28" s="74">
        <v>1</v>
      </c>
      <c r="L28" s="106" t="str">
        <f>WhatDmode(K28)</f>
        <v>Organic</v>
      </c>
      <c r="M28" s="107"/>
      <c r="N28" s="108"/>
      <c r="O28" s="108"/>
      <c r="R28" s="103"/>
      <c r="S28" s="109" t="s">
        <v>63</v>
      </c>
      <c r="T28" s="103"/>
      <c r="U28" s="105" t="s">
        <v>64</v>
      </c>
      <c r="V28" s="122" t="e">
        <f>WhatSCH(V27,K28)</f>
        <v>#NAME?</v>
      </c>
      <c r="W28" s="110"/>
    </row>
    <row r="29" spans="1:22" ht="21" customHeight="1" thickBot="1" thickTop="1">
      <c r="A29" s="99">
        <v>13</v>
      </c>
      <c r="B29" s="100" t="s">
        <v>65</v>
      </c>
      <c r="C29" s="101" t="e">
        <f>SafeDiv(C27,C28)</f>
        <v>#NAME?</v>
      </c>
      <c r="E29" s="111" t="s">
        <v>66</v>
      </c>
      <c r="V29" s="116"/>
    </row>
    <row r="30" ht="13.5" thickTop="1"/>
    <row r="31" spans="1:24" ht="12.75">
      <c r="A31" s="77" t="s">
        <v>67</v>
      </c>
      <c r="B31" s="77" t="s">
        <v>68</v>
      </c>
      <c r="V31" s="76" t="s">
        <v>212</v>
      </c>
      <c r="W31" s="140">
        <f>'3. Phase Breakdown'!D7</f>
        <v>4.166666666666667</v>
      </c>
      <c r="X31" s="141" t="s">
        <v>226</v>
      </c>
    </row>
    <row r="32" spans="2:23" ht="12.75">
      <c r="B32" s="76" t="s">
        <v>69</v>
      </c>
      <c r="V32" s="76" t="s">
        <v>213</v>
      </c>
      <c r="W32" s="140">
        <f>'3. Phase Breakdown'!E7</f>
        <v>5</v>
      </c>
    </row>
    <row r="33" spans="2:23" ht="12.75">
      <c r="B33" s="76" t="s">
        <v>70</v>
      </c>
      <c r="O33" s="77" t="s">
        <v>71</v>
      </c>
      <c r="P33" s="77" t="s">
        <v>72</v>
      </c>
      <c r="Q33" s="77" t="s">
        <v>57</v>
      </c>
      <c r="R33" s="77" t="s">
        <v>73</v>
      </c>
      <c r="S33" s="77" t="s">
        <v>74</v>
      </c>
      <c r="T33" s="77" t="s">
        <v>75</v>
      </c>
      <c r="V33" s="76" t="s">
        <v>214</v>
      </c>
      <c r="W33" s="140">
        <f>'3. Phase Breakdown'!F7</f>
        <v>6.5</v>
      </c>
    </row>
    <row r="34" ht="12.75">
      <c r="B34" s="76" t="s">
        <v>76</v>
      </c>
    </row>
    <row r="35" spans="2:23" ht="12.75">
      <c r="B35" s="76" t="s">
        <v>77</v>
      </c>
      <c r="W35" s="62"/>
    </row>
    <row r="36" ht="12.75">
      <c r="B36" s="76" t="s">
        <v>204</v>
      </c>
    </row>
    <row r="37" ht="12.75">
      <c r="B37" s="76" t="s">
        <v>78</v>
      </c>
    </row>
    <row r="39" ht="12.75">
      <c r="B39" s="112" t="str">
        <f>Introduction!B44</f>
        <v>Custom Exel Application (c) 1992-2004 Stuart Williams</v>
      </c>
    </row>
  </sheetData>
  <mergeCells count="2">
    <mergeCell ref="C2:T2"/>
    <mergeCell ref="C3:T3"/>
  </mergeCells>
  <printOptions/>
  <pageMargins left="0.75" right="0.75" top="1" bottom="1" header="0.5" footer="0.5"/>
  <pageSetup fitToHeight="1" fitToWidth="1" horizontalDpi="300" verticalDpi="300" orientation="landscape" scale="67"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34"/>
  <sheetViews>
    <sheetView workbookViewId="0" topLeftCell="A25">
      <selection activeCell="A38" sqref="A38"/>
    </sheetView>
  </sheetViews>
  <sheetFormatPr defaultColWidth="9.140625" defaultRowHeight="12.75"/>
  <cols>
    <col min="1" max="1" width="26.421875" style="0" customWidth="1"/>
    <col min="6" max="6" width="11.28125" style="0" customWidth="1"/>
    <col min="7" max="7" width="21.57421875" style="0" customWidth="1"/>
  </cols>
  <sheetData>
    <row r="1" ht="20.25">
      <c r="A1" s="17" t="s">
        <v>79</v>
      </c>
    </row>
    <row r="2" spans="1:7" ht="13.5" thickBot="1">
      <c r="A2" s="3"/>
      <c r="G2" s="42">
        <f ca="1">NOW()</f>
        <v>39939.00443310185</v>
      </c>
    </row>
    <row r="3" spans="1:7" ht="13.5" thickBot="1">
      <c r="A3" s="137" t="s">
        <v>207</v>
      </c>
      <c r="B3" s="115">
        <v>150</v>
      </c>
      <c r="G3" s="42"/>
    </row>
    <row r="4" spans="1:2" ht="13.5" thickBot="1">
      <c r="A4" s="137" t="s">
        <v>221</v>
      </c>
      <c r="B4" s="46" t="e">
        <f>'2. COCOMO'!V27</f>
        <v>#NAME?</v>
      </c>
    </row>
    <row r="5" spans="4:6" ht="12.75">
      <c r="D5" s="165"/>
      <c r="E5" s="165"/>
      <c r="F5" s="165"/>
    </row>
    <row r="6" spans="1:7" ht="12.75">
      <c r="A6" s="136" t="s">
        <v>220</v>
      </c>
      <c r="C6" s="7" t="s">
        <v>80</v>
      </c>
      <c r="D6" s="7" t="s">
        <v>81</v>
      </c>
      <c r="E6" s="7" t="s">
        <v>82</v>
      </c>
      <c r="F6" s="7" t="s">
        <v>83</v>
      </c>
      <c r="G6" s="38" t="s">
        <v>84</v>
      </c>
    </row>
    <row r="7" spans="3:7" ht="12.75">
      <c r="C7" s="27">
        <v>1</v>
      </c>
      <c r="D7" s="117">
        <f>(52-2)/12</f>
        <v>4.166666666666667</v>
      </c>
      <c r="E7" s="117">
        <v>5</v>
      </c>
      <c r="F7" s="117">
        <v>6.5</v>
      </c>
      <c r="G7" s="118" t="s">
        <v>85</v>
      </c>
    </row>
    <row r="8" spans="1:7" ht="12.75">
      <c r="A8" s="3" t="s">
        <v>86</v>
      </c>
      <c r="B8" s="3" t="s">
        <v>224</v>
      </c>
      <c r="C8" s="39">
        <v>1</v>
      </c>
      <c r="D8" s="119">
        <f>D7</f>
        <v>4.166666666666667</v>
      </c>
      <c r="E8" s="119">
        <f>D8*E7</f>
        <v>20.833333333333336</v>
      </c>
      <c r="F8" s="119">
        <f>E8*F7</f>
        <v>135.41666666666669</v>
      </c>
      <c r="G8" s="118" t="s">
        <v>88</v>
      </c>
    </row>
    <row r="9" spans="1:7" ht="12.75">
      <c r="A9" s="56" t="s">
        <v>89</v>
      </c>
      <c r="B9" s="32">
        <v>0.1</v>
      </c>
      <c r="C9" s="57" t="e">
        <f>B9*$B$4</f>
        <v>#NAME?</v>
      </c>
      <c r="D9" s="57" t="e">
        <f>C9*$D$8</f>
        <v>#NAME?</v>
      </c>
      <c r="E9" s="57" t="e">
        <f>C9*$E$8</f>
        <v>#NAME?</v>
      </c>
      <c r="F9" s="57" t="e">
        <f>C9*$F$8</f>
        <v>#NAME?</v>
      </c>
      <c r="G9" s="120" t="s">
        <v>90</v>
      </c>
    </row>
    <row r="10" spans="1:7" ht="12.75">
      <c r="A10" s="9" t="s">
        <v>91</v>
      </c>
      <c r="B10" s="32">
        <v>0.1</v>
      </c>
      <c r="C10" s="47" t="e">
        <f>B10*$B$4</f>
        <v>#NAME?</v>
      </c>
      <c r="D10" s="47" t="e">
        <f>C10*$D$8</f>
        <v>#NAME?</v>
      </c>
      <c r="E10" s="47" t="e">
        <f>C10*$E$8</f>
        <v>#NAME?</v>
      </c>
      <c r="F10" s="47" t="e">
        <f>C10*$F$8</f>
        <v>#NAME?</v>
      </c>
      <c r="G10" s="120"/>
    </row>
    <row r="11" spans="1:7" ht="12.75">
      <c r="A11" s="9" t="s">
        <v>206</v>
      </c>
      <c r="B11" s="32">
        <v>0.75</v>
      </c>
      <c r="C11" s="47" t="e">
        <f>B11*$B$4</f>
        <v>#NAME?</v>
      </c>
      <c r="D11" s="47" t="e">
        <f>C11*$D$8</f>
        <v>#NAME?</v>
      </c>
      <c r="E11" s="47" t="e">
        <f>C11*$E$8</f>
        <v>#NAME?</v>
      </c>
      <c r="F11" s="47" t="e">
        <f>C11*$F$8</f>
        <v>#NAME?</v>
      </c>
      <c r="G11" s="120"/>
    </row>
    <row r="12" spans="1:7" ht="12.75">
      <c r="A12" s="9" t="s">
        <v>209</v>
      </c>
      <c r="B12" s="32">
        <v>0.14</v>
      </c>
      <c r="C12" s="47" t="e">
        <f>B12*$B$4</f>
        <v>#NAME?</v>
      </c>
      <c r="D12" s="47" t="e">
        <f>C12*$D$8</f>
        <v>#NAME?</v>
      </c>
      <c r="E12" s="47" t="e">
        <f>C12*$E$8</f>
        <v>#NAME?</v>
      </c>
      <c r="F12" s="47" t="e">
        <f>C12*$F$8</f>
        <v>#NAME?</v>
      </c>
      <c r="G12" s="120"/>
    </row>
    <row r="13" spans="1:7" ht="13.5" thickBot="1">
      <c r="A13" s="30" t="s">
        <v>205</v>
      </c>
      <c r="B13" s="33">
        <v>0.01</v>
      </c>
      <c r="C13" s="47" t="e">
        <f>B13*$B$4</f>
        <v>#NAME?</v>
      </c>
      <c r="D13" s="47" t="e">
        <f>C13*$D$8</f>
        <v>#NAME?</v>
      </c>
      <c r="E13" s="47" t="e">
        <f>C13*$E$8</f>
        <v>#NAME?</v>
      </c>
      <c r="F13" s="47" t="e">
        <f>C13*$F$8</f>
        <v>#NAME?</v>
      </c>
      <c r="G13" s="121" t="s">
        <v>208</v>
      </c>
    </row>
    <row r="14" spans="1:7" ht="16.5" thickTop="1">
      <c r="A14" s="29" t="s">
        <v>60</v>
      </c>
      <c r="B14" s="31">
        <f>SUM(B10:B13)</f>
        <v>1</v>
      </c>
      <c r="C14" s="48" t="e">
        <f>SUM(C10:C13)</f>
        <v>#NAME?</v>
      </c>
      <c r="D14" s="48" t="e">
        <f>SUM(D10:D13)</f>
        <v>#NAME?</v>
      </c>
      <c r="E14" s="48" t="e">
        <f>SUM(E10:E13)</f>
        <v>#NAME?</v>
      </c>
      <c r="F14" s="139" t="e">
        <f>SUM(F10:F13)</f>
        <v>#NAME?</v>
      </c>
      <c r="G14" s="138" t="e">
        <f>$B$3*F14</f>
        <v>#NAME?</v>
      </c>
    </row>
    <row r="15" ht="12.75">
      <c r="C15" t="s">
        <v>92</v>
      </c>
    </row>
    <row r="16" ht="12.75">
      <c r="A16" t="s">
        <v>93</v>
      </c>
    </row>
    <row r="17" ht="12.75">
      <c r="A17" t="s">
        <v>92</v>
      </c>
    </row>
    <row r="18" ht="12.75">
      <c r="A18" s="3" t="s">
        <v>94</v>
      </c>
    </row>
    <row r="19" ht="13.5" thickBot="1">
      <c r="A19" s="3"/>
    </row>
    <row r="20" spans="1:2" ht="13.5" thickBot="1">
      <c r="A20" s="137" t="s">
        <v>222</v>
      </c>
      <c r="B20" s="46" t="e">
        <f>'2. COCOMO'!V28</f>
        <v>#NAME?</v>
      </c>
    </row>
    <row r="22" spans="1:7" ht="12.75">
      <c r="A22" s="136" t="s">
        <v>87</v>
      </c>
      <c r="C22" s="7" t="s">
        <v>80</v>
      </c>
      <c r="D22" s="7" t="s">
        <v>81</v>
      </c>
      <c r="E22" s="7" t="s">
        <v>82</v>
      </c>
      <c r="F22" s="7" t="s">
        <v>83</v>
      </c>
      <c r="G22" s="38" t="s">
        <v>223</v>
      </c>
    </row>
    <row r="23" spans="3:7" ht="12.75">
      <c r="C23" s="39">
        <v>1</v>
      </c>
      <c r="D23" s="119">
        <f>D7</f>
        <v>4.166666666666667</v>
      </c>
      <c r="E23" s="119">
        <f>E7</f>
        <v>5</v>
      </c>
      <c r="F23" s="119">
        <f>F7</f>
        <v>6.5</v>
      </c>
      <c r="G23" s="118" t="s">
        <v>85</v>
      </c>
    </row>
    <row r="24" spans="1:7" ht="12.75">
      <c r="A24" s="3" t="s">
        <v>86</v>
      </c>
      <c r="B24" s="3" t="s">
        <v>224</v>
      </c>
      <c r="C24" s="39">
        <v>1</v>
      </c>
      <c r="D24" s="119">
        <f>D23</f>
        <v>4.166666666666667</v>
      </c>
      <c r="E24" s="119">
        <f>D24*E23</f>
        <v>20.833333333333336</v>
      </c>
      <c r="F24" s="119">
        <f>E24*F23</f>
        <v>135.41666666666669</v>
      </c>
      <c r="G24" s="118" t="s">
        <v>88</v>
      </c>
    </row>
    <row r="25" spans="1:7" ht="12.75">
      <c r="A25" s="56" t="s">
        <v>89</v>
      </c>
      <c r="B25" s="135">
        <f>B9</f>
        <v>0.1</v>
      </c>
      <c r="C25" s="57" t="e">
        <f>B25*$B$20</f>
        <v>#NAME?</v>
      </c>
      <c r="D25" s="57" t="e">
        <f>C25*$D$24</f>
        <v>#NAME?</v>
      </c>
      <c r="E25" s="57" t="e">
        <f>C25*$E$24</f>
        <v>#NAME?</v>
      </c>
      <c r="F25" s="57" t="e">
        <f>C25*$F$24</f>
        <v>#NAME?</v>
      </c>
      <c r="G25" s="120" t="s">
        <v>90</v>
      </c>
    </row>
    <row r="26" spans="1:6" ht="12.75">
      <c r="A26" s="9" t="s">
        <v>91</v>
      </c>
      <c r="B26" s="135">
        <f>B10</f>
        <v>0.1</v>
      </c>
      <c r="C26" s="47" t="e">
        <f>B26*$B$20</f>
        <v>#NAME?</v>
      </c>
      <c r="D26" s="47" t="e">
        <f>C26*$D$24</f>
        <v>#NAME?</v>
      </c>
      <c r="E26" s="47" t="e">
        <f>C26*$E$24</f>
        <v>#NAME?</v>
      </c>
      <c r="F26" s="47" t="e">
        <f>C26*$F$24</f>
        <v>#NAME?</v>
      </c>
    </row>
    <row r="27" spans="1:6" ht="12.75">
      <c r="A27" s="9" t="s">
        <v>206</v>
      </c>
      <c r="B27" s="135">
        <f>B11</f>
        <v>0.75</v>
      </c>
      <c r="C27" s="47" t="e">
        <f>B27*$B$20</f>
        <v>#NAME?</v>
      </c>
      <c r="D27" s="47" t="e">
        <f>C27*$D$24</f>
        <v>#NAME?</v>
      </c>
      <c r="E27" s="47" t="e">
        <f>C27*$E$24</f>
        <v>#NAME?</v>
      </c>
      <c r="F27" s="47" t="e">
        <f>C27*$F$24</f>
        <v>#NAME?</v>
      </c>
    </row>
    <row r="28" spans="1:6" ht="12.75">
      <c r="A28" s="9" t="s">
        <v>209</v>
      </c>
      <c r="B28" s="135">
        <f>B12</f>
        <v>0.14</v>
      </c>
      <c r="C28" s="47" t="e">
        <f>B28*$B$20</f>
        <v>#NAME?</v>
      </c>
      <c r="D28" s="47" t="e">
        <f>C28*$D$24</f>
        <v>#NAME?</v>
      </c>
      <c r="E28" s="47" t="e">
        <f>C28*$E$24</f>
        <v>#NAME?</v>
      </c>
      <c r="F28" s="47" t="e">
        <f>C28*$F$24</f>
        <v>#NAME?</v>
      </c>
    </row>
    <row r="29" spans="1:6" ht="13.5" thickBot="1">
      <c r="A29" s="30" t="s">
        <v>205</v>
      </c>
      <c r="B29" s="135">
        <f>B13</f>
        <v>0.01</v>
      </c>
      <c r="C29" s="47" t="e">
        <f>B29*$B$20</f>
        <v>#NAME?</v>
      </c>
      <c r="D29" s="47" t="e">
        <f>C29*$D$24</f>
        <v>#NAME?</v>
      </c>
      <c r="E29" s="47" t="e">
        <f>C29*$E$24</f>
        <v>#NAME?</v>
      </c>
      <c r="F29" s="47" t="e">
        <f>C29*$F$24</f>
        <v>#NAME?</v>
      </c>
    </row>
    <row r="30" spans="1:6" ht="13.5" thickTop="1">
      <c r="A30" s="29" t="s">
        <v>60</v>
      </c>
      <c r="B30" s="31">
        <f>SUM(B26:B29)</f>
        <v>1</v>
      </c>
      <c r="C30" s="48" t="e">
        <f>SUM(C26:C29)</f>
        <v>#NAME?</v>
      </c>
      <c r="D30" s="48" t="e">
        <f>SUM(D26:D29)</f>
        <v>#NAME?</v>
      </c>
      <c r="E30" s="48" t="e">
        <f>SUM(E26:E29)</f>
        <v>#NAME?</v>
      </c>
      <c r="F30" s="48" t="e">
        <f>SUM(F26:F29)</f>
        <v>#NAME?</v>
      </c>
    </row>
    <row r="32" ht="12.75">
      <c r="A32" t="s">
        <v>225</v>
      </c>
    </row>
    <row r="34" ht="12.75">
      <c r="A34" t="str">
        <f>Introduction!B44</f>
        <v>Custom Exel Application (c) 1992-2004 Stuart Williams</v>
      </c>
    </row>
  </sheetData>
  <mergeCells count="1">
    <mergeCell ref="D5:F5"/>
  </mergeCells>
  <printOptions/>
  <pageMargins left="0.75" right="0.75" top="1" bottom="1" header="0.5" footer="0.5"/>
  <pageSetup fitToHeight="1" fitToWidth="1" horizontalDpi="600" verticalDpi="600" orientation="landscape" r:id="rId1"/>
  <headerFooter alignWithMargins="0">
    <oddHeader>&amp;C&amp;A</oddHeader>
    <oddFooter>&amp;CPage &amp;P</oddFooter>
  </headerFooter>
  <ignoredErrors>
    <ignoredError sqref="D25"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G24"/>
  <sheetViews>
    <sheetView workbookViewId="0" topLeftCell="A4">
      <selection activeCell="A25" sqref="A25"/>
    </sheetView>
  </sheetViews>
  <sheetFormatPr defaultColWidth="9.140625" defaultRowHeight="12.75"/>
  <cols>
    <col min="1" max="1" width="9.00390625" style="0" customWidth="1"/>
    <col min="2" max="2" width="14.28125" style="0" customWidth="1"/>
    <col min="3" max="3" width="17.28125" style="0" customWidth="1"/>
    <col min="4" max="4" width="19.421875" style="0" customWidth="1"/>
    <col min="5" max="5" width="17.28125" style="0" customWidth="1"/>
    <col min="6" max="6" width="19.28125" style="0" customWidth="1"/>
    <col min="7" max="7" width="18.00390625" style="0" customWidth="1"/>
  </cols>
  <sheetData>
    <row r="1" ht="20.25">
      <c r="A1" s="17" t="s">
        <v>6</v>
      </c>
    </row>
    <row r="2" spans="1:6" ht="12.75">
      <c r="A2" t="s">
        <v>95</v>
      </c>
      <c r="F2" s="12"/>
    </row>
    <row r="3" ht="12.75">
      <c r="G3" s="42">
        <f ca="1">NOW()</f>
        <v>39939.00443310185</v>
      </c>
    </row>
    <row r="4" spans="1:7" ht="12.75">
      <c r="A4" s="58" t="s">
        <v>96</v>
      </c>
      <c r="B4" s="166" t="s">
        <v>97</v>
      </c>
      <c r="C4" s="166"/>
      <c r="D4" s="166"/>
      <c r="E4" s="166"/>
      <c r="F4" s="166"/>
      <c r="G4" s="166"/>
    </row>
    <row r="5" spans="1:7" ht="12.75">
      <c r="A5" s="16"/>
      <c r="B5" s="27" t="s">
        <v>98</v>
      </c>
      <c r="C5" s="27" t="s">
        <v>99</v>
      </c>
      <c r="D5" s="27" t="s">
        <v>100</v>
      </c>
      <c r="E5" s="27" t="s">
        <v>101</v>
      </c>
      <c r="F5" s="27" t="s">
        <v>102</v>
      </c>
      <c r="G5" s="27" t="s">
        <v>103</v>
      </c>
    </row>
    <row r="6" spans="1:7" ht="12.75">
      <c r="A6" s="25" t="s">
        <v>104</v>
      </c>
      <c r="B6" s="26" t="s">
        <v>71</v>
      </c>
      <c r="C6" s="26" t="s">
        <v>72</v>
      </c>
      <c r="D6" s="26" t="s">
        <v>57</v>
      </c>
      <c r="E6" s="26" t="s">
        <v>73</v>
      </c>
      <c r="F6" s="26" t="s">
        <v>74</v>
      </c>
      <c r="G6" s="26" t="s">
        <v>75</v>
      </c>
    </row>
    <row r="7" spans="1:7" ht="25.5">
      <c r="A7" s="16" t="s">
        <v>39</v>
      </c>
      <c r="B7" s="14" t="s">
        <v>105</v>
      </c>
      <c r="C7" s="14" t="s">
        <v>106</v>
      </c>
      <c r="D7" s="14" t="s">
        <v>107</v>
      </c>
      <c r="E7" s="14" t="s">
        <v>108</v>
      </c>
      <c r="F7" s="14" t="s">
        <v>109</v>
      </c>
      <c r="G7" s="14"/>
    </row>
    <row r="8" spans="1:7" ht="63.75">
      <c r="A8" s="16" t="s">
        <v>40</v>
      </c>
      <c r="B8" s="18" t="s">
        <v>110</v>
      </c>
      <c r="C8" s="18" t="s">
        <v>111</v>
      </c>
      <c r="D8" s="18" t="s">
        <v>112</v>
      </c>
      <c r="E8" s="18" t="s">
        <v>113</v>
      </c>
      <c r="F8" s="18" t="s">
        <v>114</v>
      </c>
      <c r="G8" s="14"/>
    </row>
    <row r="9" spans="1:7" ht="89.25">
      <c r="A9" s="16" t="s">
        <v>41</v>
      </c>
      <c r="B9" s="18" t="s">
        <v>115</v>
      </c>
      <c r="C9" s="18" t="s">
        <v>116</v>
      </c>
      <c r="D9" s="18" t="s">
        <v>117</v>
      </c>
      <c r="E9" s="18" t="s">
        <v>118</v>
      </c>
      <c r="F9" s="18" t="s">
        <v>119</v>
      </c>
      <c r="G9" s="18" t="s">
        <v>120</v>
      </c>
    </row>
    <row r="10" spans="1:7" ht="12.75">
      <c r="A10" s="16" t="s">
        <v>42</v>
      </c>
      <c r="B10" s="14"/>
      <c r="C10" s="14"/>
      <c r="D10" s="14" t="s">
        <v>121</v>
      </c>
      <c r="E10" s="15">
        <v>0.7</v>
      </c>
      <c r="F10" s="15">
        <v>0.85</v>
      </c>
      <c r="G10" s="15">
        <v>0.95</v>
      </c>
    </row>
    <row r="11" spans="1:7" ht="38.25">
      <c r="A11" s="16" t="s">
        <v>43</v>
      </c>
      <c r="B11" s="14"/>
      <c r="C11" s="14"/>
      <c r="D11" s="18" t="s">
        <v>122</v>
      </c>
      <c r="E11" s="15" t="s">
        <v>123</v>
      </c>
      <c r="F11" s="15" t="s">
        <v>124</v>
      </c>
      <c r="G11" s="15">
        <v>0.95</v>
      </c>
    </row>
    <row r="12" spans="1:7" ht="38.25">
      <c r="A12" s="16" t="s">
        <v>44</v>
      </c>
      <c r="B12" s="14"/>
      <c r="C12" s="14" t="s">
        <v>125</v>
      </c>
      <c r="D12" s="14" t="s">
        <v>126</v>
      </c>
      <c r="E12" s="14" t="s">
        <v>127</v>
      </c>
      <c r="F12" s="14" t="s">
        <v>128</v>
      </c>
      <c r="G12" s="14"/>
    </row>
    <row r="13" spans="1:7" ht="12.75">
      <c r="A13" s="16" t="s">
        <v>45</v>
      </c>
      <c r="B13" s="14"/>
      <c r="C13" s="14" t="s">
        <v>129</v>
      </c>
      <c r="D13" s="14" t="s">
        <v>130</v>
      </c>
      <c r="E13" s="14" t="s">
        <v>131</v>
      </c>
      <c r="F13" s="14" t="s">
        <v>132</v>
      </c>
      <c r="G13" s="14"/>
    </row>
    <row r="14" spans="1:7" ht="12.75">
      <c r="A14" s="16" t="s">
        <v>46</v>
      </c>
      <c r="B14" s="14" t="s">
        <v>133</v>
      </c>
      <c r="C14" s="14" t="s">
        <v>134</v>
      </c>
      <c r="D14" s="14" t="s">
        <v>135</v>
      </c>
      <c r="E14" s="14" t="s">
        <v>136</v>
      </c>
      <c r="F14" s="14" t="s">
        <v>137</v>
      </c>
      <c r="G14" s="14"/>
    </row>
    <row r="15" spans="1:7" ht="12.75">
      <c r="A15" s="16" t="s">
        <v>47</v>
      </c>
      <c r="B15" s="14" t="s">
        <v>138</v>
      </c>
      <c r="C15" s="14" t="s">
        <v>139</v>
      </c>
      <c r="D15" s="14" t="s">
        <v>140</v>
      </c>
      <c r="E15" s="14" t="s">
        <v>141</v>
      </c>
      <c r="F15" s="14" t="s">
        <v>142</v>
      </c>
      <c r="G15" s="14"/>
    </row>
    <row r="16" spans="1:7" ht="12.75">
      <c r="A16" s="16" t="s">
        <v>48</v>
      </c>
      <c r="B16" s="14" t="s">
        <v>133</v>
      </c>
      <c r="C16" s="14" t="s">
        <v>134</v>
      </c>
      <c r="D16" s="14" t="s">
        <v>135</v>
      </c>
      <c r="E16" s="14" t="s">
        <v>136</v>
      </c>
      <c r="F16" s="14" t="s">
        <v>137</v>
      </c>
      <c r="G16" s="14"/>
    </row>
    <row r="17" spans="1:7" ht="12.75">
      <c r="A17" s="16" t="s">
        <v>49</v>
      </c>
      <c r="B17" s="14" t="s">
        <v>143</v>
      </c>
      <c r="C17" s="14" t="s">
        <v>144</v>
      </c>
      <c r="D17" s="14" t="s">
        <v>139</v>
      </c>
      <c r="E17" s="14" t="s">
        <v>140</v>
      </c>
      <c r="F17" s="14"/>
      <c r="G17" s="14"/>
    </row>
    <row r="18" spans="1:7" ht="12.75">
      <c r="A18" s="16" t="s">
        <v>50</v>
      </c>
      <c r="B18" s="14" t="s">
        <v>143</v>
      </c>
      <c r="C18" s="14" t="s">
        <v>144</v>
      </c>
      <c r="D18" s="14" t="s">
        <v>139</v>
      </c>
      <c r="E18" s="14" t="s">
        <v>140</v>
      </c>
      <c r="F18" s="14"/>
      <c r="G18" s="14"/>
    </row>
    <row r="19" spans="1:7" ht="12.75">
      <c r="A19" s="16" t="s">
        <v>51</v>
      </c>
      <c r="B19" s="14" t="s">
        <v>145</v>
      </c>
      <c r="C19" s="14" t="s">
        <v>146</v>
      </c>
      <c r="D19" s="14" t="s">
        <v>147</v>
      </c>
      <c r="E19" s="14" t="s">
        <v>148</v>
      </c>
      <c r="F19" s="14" t="s">
        <v>149</v>
      </c>
      <c r="G19" s="14"/>
    </row>
    <row r="20" spans="1:7" ht="76.5">
      <c r="A20" s="16" t="s">
        <v>150</v>
      </c>
      <c r="B20" s="18" t="s">
        <v>151</v>
      </c>
      <c r="C20" s="18" t="s">
        <v>152</v>
      </c>
      <c r="D20" s="18" t="s">
        <v>153</v>
      </c>
      <c r="E20" s="18" t="s">
        <v>154</v>
      </c>
      <c r="F20" s="18" t="s">
        <v>155</v>
      </c>
      <c r="G20" s="14"/>
    </row>
    <row r="21" spans="1:7" ht="12.75">
      <c r="A21" s="16" t="s">
        <v>156</v>
      </c>
      <c r="B21" s="14" t="s">
        <v>157</v>
      </c>
      <c r="C21" s="15">
        <v>0.85</v>
      </c>
      <c r="D21" s="15">
        <v>1</v>
      </c>
      <c r="E21" s="15">
        <v>1.3</v>
      </c>
      <c r="F21" s="15">
        <v>1.6</v>
      </c>
      <c r="G21" s="14"/>
    </row>
    <row r="23" spans="1:5" ht="12.75">
      <c r="A23" s="3" t="s">
        <v>216</v>
      </c>
      <c r="E23" s="3" t="s">
        <v>158</v>
      </c>
    </row>
    <row r="24" ht="12.75">
      <c r="A24" t="str">
        <f>Introduction!B44</f>
        <v>Custom Exel Application (c) 1992-2004 Stuart Williams</v>
      </c>
    </row>
  </sheetData>
  <mergeCells count="1">
    <mergeCell ref="B4:G4"/>
  </mergeCells>
  <printOptions/>
  <pageMargins left="0.75" right="0.75" top="1" bottom="1" header="0.5" footer="0.5"/>
  <pageSetup fitToHeight="1" fitToWidth="1" horizontalDpi="600" verticalDpi="600" orientation="portrait" scale="77"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A31" sqref="A31"/>
    </sheetView>
  </sheetViews>
  <sheetFormatPr defaultColWidth="9.140625" defaultRowHeight="12.75"/>
  <cols>
    <col min="1" max="1" width="18.28125" style="0" customWidth="1"/>
    <col min="2" max="2" width="3.8515625" style="0" customWidth="1"/>
    <col min="3" max="3" width="6.7109375" style="0" customWidth="1"/>
    <col min="4" max="4" width="30.8515625" style="0" customWidth="1"/>
  </cols>
  <sheetData>
    <row r="1" ht="18">
      <c r="A1" s="4" t="s">
        <v>159</v>
      </c>
    </row>
    <row r="2" spans="1:10" ht="13.5" thickBot="1">
      <c r="A2" s="1"/>
      <c r="B2" s="1"/>
      <c r="C2" s="1"/>
      <c r="D2" s="1"/>
      <c r="E2" s="6" t="s">
        <v>71</v>
      </c>
      <c r="F2" s="6" t="s">
        <v>72</v>
      </c>
      <c r="G2" s="6" t="s">
        <v>57</v>
      </c>
      <c r="H2" s="6" t="s">
        <v>73</v>
      </c>
      <c r="I2" s="6" t="s">
        <v>74</v>
      </c>
      <c r="J2" s="6" t="s">
        <v>75</v>
      </c>
    </row>
    <row r="3" spans="1:10" ht="12.75">
      <c r="A3" t="s">
        <v>160</v>
      </c>
      <c r="B3" s="2">
        <v>1</v>
      </c>
      <c r="C3" s="7" t="s">
        <v>39</v>
      </c>
      <c r="D3" s="2" t="s">
        <v>161</v>
      </c>
      <c r="E3" s="34">
        <v>0.75</v>
      </c>
      <c r="F3" s="34">
        <v>0.88</v>
      </c>
      <c r="G3" s="35">
        <v>1</v>
      </c>
      <c r="H3" s="34">
        <v>1.15</v>
      </c>
      <c r="I3" s="34">
        <v>1.4</v>
      </c>
      <c r="J3" s="34">
        <v>1.4</v>
      </c>
    </row>
    <row r="4" spans="2:10" ht="12.75">
      <c r="B4" s="2">
        <v>2</v>
      </c>
      <c r="C4" s="7" t="s">
        <v>40</v>
      </c>
      <c r="D4" s="2" t="s">
        <v>162</v>
      </c>
      <c r="E4" s="34">
        <v>0.94</v>
      </c>
      <c r="F4" s="34">
        <v>0.94</v>
      </c>
      <c r="G4" s="35">
        <v>1</v>
      </c>
      <c r="H4" s="34">
        <v>1.08</v>
      </c>
      <c r="I4" s="34">
        <v>1.16</v>
      </c>
      <c r="J4" s="34">
        <v>1.16</v>
      </c>
    </row>
    <row r="5" spans="1:10" ht="13.5" thickBot="1">
      <c r="A5" s="1"/>
      <c r="B5" s="5">
        <v>3</v>
      </c>
      <c r="C5" s="8" t="s">
        <v>41</v>
      </c>
      <c r="D5" s="5" t="s">
        <v>163</v>
      </c>
      <c r="E5" s="36">
        <v>0.7</v>
      </c>
      <c r="F5" s="36">
        <v>0.85</v>
      </c>
      <c r="G5" s="37">
        <v>1</v>
      </c>
      <c r="H5" s="36">
        <v>1.15</v>
      </c>
      <c r="I5" s="36">
        <v>1.3</v>
      </c>
      <c r="J5" s="36">
        <v>1.65</v>
      </c>
    </row>
    <row r="6" spans="1:10" ht="12.75">
      <c r="A6" t="s">
        <v>164</v>
      </c>
      <c r="B6" s="2">
        <v>4</v>
      </c>
      <c r="C6" s="7" t="s">
        <v>42</v>
      </c>
      <c r="D6" s="2" t="s">
        <v>165</v>
      </c>
      <c r="E6" s="34">
        <v>1</v>
      </c>
      <c r="F6" s="34">
        <v>1</v>
      </c>
      <c r="G6" s="35">
        <v>1</v>
      </c>
      <c r="H6" s="34">
        <v>1.11</v>
      </c>
      <c r="I6" s="34">
        <v>1.3</v>
      </c>
      <c r="J6" s="34">
        <v>1.66</v>
      </c>
    </row>
    <row r="7" spans="2:10" ht="12.75">
      <c r="B7" s="2">
        <v>5</v>
      </c>
      <c r="C7" s="7" t="s">
        <v>43</v>
      </c>
      <c r="D7" s="2" t="s">
        <v>166</v>
      </c>
      <c r="E7" s="34">
        <v>1</v>
      </c>
      <c r="F7" s="34">
        <v>1</v>
      </c>
      <c r="G7" s="35">
        <v>1</v>
      </c>
      <c r="H7" s="34">
        <v>1.06</v>
      </c>
      <c r="I7" s="34">
        <v>1.21</v>
      </c>
      <c r="J7" s="34">
        <v>1.56</v>
      </c>
    </row>
    <row r="8" spans="2:10" ht="12.75">
      <c r="B8" s="2">
        <v>6</v>
      </c>
      <c r="C8" s="7" t="s">
        <v>44</v>
      </c>
      <c r="D8" s="2" t="s">
        <v>167</v>
      </c>
      <c r="E8" s="34">
        <v>0.87</v>
      </c>
      <c r="F8" s="34">
        <v>0.87</v>
      </c>
      <c r="G8" s="35">
        <v>1</v>
      </c>
      <c r="H8" s="34">
        <v>1.15</v>
      </c>
      <c r="I8" s="34">
        <v>1.3</v>
      </c>
      <c r="J8" s="34">
        <v>1.3</v>
      </c>
    </row>
    <row r="9" spans="1:10" ht="13.5" thickBot="1">
      <c r="A9" s="1"/>
      <c r="B9" s="5">
        <v>7</v>
      </c>
      <c r="C9" s="8" t="s">
        <v>45</v>
      </c>
      <c r="D9" s="5" t="s">
        <v>168</v>
      </c>
      <c r="E9" s="36">
        <v>0.87</v>
      </c>
      <c r="F9" s="36">
        <v>0.87</v>
      </c>
      <c r="G9" s="37">
        <v>1</v>
      </c>
      <c r="H9" s="36">
        <v>1.07</v>
      </c>
      <c r="I9" s="36">
        <v>1.15</v>
      </c>
      <c r="J9" s="36">
        <v>1.15</v>
      </c>
    </row>
    <row r="10" spans="1:10" ht="12.75">
      <c r="A10" t="s">
        <v>169</v>
      </c>
      <c r="B10" s="2">
        <v>8</v>
      </c>
      <c r="C10" s="7" t="s">
        <v>46</v>
      </c>
      <c r="D10" s="2" t="s">
        <v>170</v>
      </c>
      <c r="E10" s="34">
        <v>1.46</v>
      </c>
      <c r="F10" s="34">
        <v>1.19</v>
      </c>
      <c r="G10" s="35">
        <v>1</v>
      </c>
      <c r="H10" s="34">
        <v>0.86</v>
      </c>
      <c r="I10" s="34">
        <v>0.71</v>
      </c>
      <c r="J10" s="34">
        <v>0.71</v>
      </c>
    </row>
    <row r="11" spans="2:10" ht="12.75">
      <c r="B11" s="2">
        <v>9</v>
      </c>
      <c r="C11" s="7" t="s">
        <v>47</v>
      </c>
      <c r="D11" s="2" t="s">
        <v>171</v>
      </c>
      <c r="E11" s="34">
        <v>1.29</v>
      </c>
      <c r="F11" s="34">
        <v>1.13</v>
      </c>
      <c r="G11" s="35">
        <v>1</v>
      </c>
      <c r="H11" s="34">
        <v>0.91</v>
      </c>
      <c r="I11" s="34">
        <v>0.82</v>
      </c>
      <c r="J11" s="34">
        <v>0.82</v>
      </c>
    </row>
    <row r="12" spans="2:10" ht="12.75">
      <c r="B12" s="2">
        <v>10</v>
      </c>
      <c r="C12" s="7" t="s">
        <v>48</v>
      </c>
      <c r="D12" s="2" t="s">
        <v>172</v>
      </c>
      <c r="E12" s="34">
        <v>1.42</v>
      </c>
      <c r="F12" s="34">
        <v>1.17</v>
      </c>
      <c r="G12" s="35">
        <v>1</v>
      </c>
      <c r="H12" s="34">
        <v>0.86</v>
      </c>
      <c r="I12" s="34">
        <v>0.7</v>
      </c>
      <c r="J12" s="34">
        <v>0.7</v>
      </c>
    </row>
    <row r="13" spans="2:10" ht="12.75">
      <c r="B13" s="2">
        <v>11</v>
      </c>
      <c r="C13" s="7" t="s">
        <v>49</v>
      </c>
      <c r="D13" s="2" t="s">
        <v>173</v>
      </c>
      <c r="E13" s="34">
        <v>1.21</v>
      </c>
      <c r="F13" s="34">
        <v>1.1</v>
      </c>
      <c r="G13" s="35">
        <v>1</v>
      </c>
      <c r="H13" s="34">
        <v>0.9</v>
      </c>
      <c r="I13" s="34">
        <v>0.9</v>
      </c>
      <c r="J13" s="34">
        <v>0.9</v>
      </c>
    </row>
    <row r="14" spans="1:10" ht="13.5" thickBot="1">
      <c r="A14" s="1"/>
      <c r="B14" s="5">
        <v>12</v>
      </c>
      <c r="C14" s="8" t="s">
        <v>50</v>
      </c>
      <c r="D14" s="5" t="s">
        <v>174</v>
      </c>
      <c r="E14" s="36">
        <v>1.14</v>
      </c>
      <c r="F14" s="36">
        <v>1.07</v>
      </c>
      <c r="G14" s="37">
        <v>1</v>
      </c>
      <c r="H14" s="36">
        <v>0.95</v>
      </c>
      <c r="I14" s="36">
        <v>0.95</v>
      </c>
      <c r="J14" s="36">
        <v>0.95</v>
      </c>
    </row>
    <row r="15" spans="1:10" ht="12.75">
      <c r="A15" t="s">
        <v>175</v>
      </c>
      <c r="B15" s="2">
        <v>13</v>
      </c>
      <c r="C15" s="7" t="s">
        <v>51</v>
      </c>
      <c r="D15" s="2" t="s">
        <v>176</v>
      </c>
      <c r="E15" s="34">
        <v>1.24</v>
      </c>
      <c r="F15" s="34">
        <v>1.1</v>
      </c>
      <c r="G15" s="35">
        <v>1</v>
      </c>
      <c r="H15" s="34">
        <v>0.91</v>
      </c>
      <c r="I15" s="34">
        <v>0.82</v>
      </c>
      <c r="J15" s="34">
        <v>0.82</v>
      </c>
    </row>
    <row r="16" spans="2:10" ht="12.75">
      <c r="B16" s="2">
        <v>14</v>
      </c>
      <c r="C16" s="7" t="s">
        <v>150</v>
      </c>
      <c r="D16" s="2" t="s">
        <v>177</v>
      </c>
      <c r="E16" s="34">
        <v>1.24</v>
      </c>
      <c r="F16" s="34">
        <v>1.1</v>
      </c>
      <c r="G16" s="35">
        <v>1</v>
      </c>
      <c r="H16" s="34">
        <v>0.91</v>
      </c>
      <c r="I16" s="34">
        <v>0.83</v>
      </c>
      <c r="J16" s="34">
        <v>0.83</v>
      </c>
    </row>
    <row r="17" spans="1:10" ht="13.5" thickBot="1">
      <c r="A17" s="1"/>
      <c r="B17" s="5">
        <v>15</v>
      </c>
      <c r="C17" s="8" t="s">
        <v>52</v>
      </c>
      <c r="D17" s="5" t="s">
        <v>178</v>
      </c>
      <c r="E17" s="36">
        <v>1.23</v>
      </c>
      <c r="F17" s="36">
        <v>1.08</v>
      </c>
      <c r="G17" s="37">
        <v>1</v>
      </c>
      <c r="H17" s="36">
        <v>1.04</v>
      </c>
      <c r="I17" s="36">
        <v>1.1</v>
      </c>
      <c r="J17" s="36">
        <v>1.1</v>
      </c>
    </row>
    <row r="20" ht="18">
      <c r="A20" s="4" t="s">
        <v>179</v>
      </c>
    </row>
    <row r="21" spans="4:7" ht="12.75">
      <c r="D21" t="s">
        <v>92</v>
      </c>
      <c r="E21" s="2">
        <v>1</v>
      </c>
      <c r="F21" s="2">
        <v>2</v>
      </c>
      <c r="G21" s="2">
        <v>3</v>
      </c>
    </row>
    <row r="22" spans="4:7" ht="12.75">
      <c r="D22" t="s">
        <v>180</v>
      </c>
      <c r="E22" s="2" t="s">
        <v>181</v>
      </c>
      <c r="F22" s="2" t="s">
        <v>182</v>
      </c>
      <c r="G22" s="2" t="s">
        <v>183</v>
      </c>
    </row>
    <row r="23" spans="1:7" ht="12.75">
      <c r="A23" t="s">
        <v>92</v>
      </c>
      <c r="B23" t="s">
        <v>92</v>
      </c>
      <c r="D23" s="9" t="s">
        <v>184</v>
      </c>
      <c r="E23" s="34">
        <v>2.4</v>
      </c>
      <c r="F23" s="34">
        <v>3</v>
      </c>
      <c r="G23" s="34">
        <v>3.6</v>
      </c>
    </row>
    <row r="24" spans="2:7" ht="12.75">
      <c r="B24" t="s">
        <v>92</v>
      </c>
      <c r="D24" s="9" t="s">
        <v>185</v>
      </c>
      <c r="E24" s="34">
        <v>1.05</v>
      </c>
      <c r="F24" s="34">
        <v>1.12</v>
      </c>
      <c r="G24" s="34">
        <v>1.2</v>
      </c>
    </row>
    <row r="25" spans="2:7" ht="12.75">
      <c r="B25" t="s">
        <v>92</v>
      </c>
      <c r="D25" s="9" t="s">
        <v>186</v>
      </c>
      <c r="E25" s="34">
        <v>2.5</v>
      </c>
      <c r="F25" s="34">
        <v>2.5</v>
      </c>
      <c r="G25" s="34">
        <v>2.5</v>
      </c>
    </row>
    <row r="26" spans="4:7" ht="12.75">
      <c r="D26" s="9" t="s">
        <v>187</v>
      </c>
      <c r="E26" s="34">
        <v>0.38</v>
      </c>
      <c r="F26" s="34">
        <v>0.35</v>
      </c>
      <c r="G26" s="34">
        <v>0.32</v>
      </c>
    </row>
    <row r="29" ht="12.75">
      <c r="A29" s="3" t="s">
        <v>188</v>
      </c>
    </row>
    <row r="30" ht="12.75">
      <c r="A30" t="str">
        <f>Introduction!B44</f>
        <v>Custom Exel Application (c) 1992-2004 Stuart Williams</v>
      </c>
    </row>
    <row r="31" ht="12.75">
      <c r="A31" s="3"/>
    </row>
    <row r="32" ht="12.75">
      <c r="D32" s="42"/>
    </row>
  </sheetData>
  <printOptions/>
  <pageMargins left="0.75" right="0.75" top="1" bottom="1" header="0.5" footer="0.5"/>
  <pageSetup fitToHeight="1" fitToWidth="1" horizontalDpi="600" verticalDpi="600"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F40"/>
  <sheetViews>
    <sheetView workbookViewId="0" topLeftCell="A6">
      <selection activeCell="A9" sqref="A9"/>
    </sheetView>
  </sheetViews>
  <sheetFormatPr defaultColWidth="9.140625" defaultRowHeight="12.75"/>
  <cols>
    <col min="1" max="1" width="23.7109375" style="0" customWidth="1"/>
    <col min="2" max="2" width="14.140625" style="0" customWidth="1"/>
    <col min="3" max="3" width="24.57421875" style="0" customWidth="1"/>
  </cols>
  <sheetData>
    <row r="1" spans="1:6" ht="57.75" customHeight="1">
      <c r="A1" s="167" t="s">
        <v>239</v>
      </c>
      <c r="B1" s="167"/>
      <c r="C1" s="167"/>
      <c r="D1" s="167"/>
      <c r="E1" s="167"/>
      <c r="F1" s="167"/>
    </row>
    <row r="2" spans="1:3" ht="12.75">
      <c r="A2" s="149" t="s">
        <v>240</v>
      </c>
      <c r="C2" s="142" t="s">
        <v>241</v>
      </c>
    </row>
    <row r="3" ht="12.75">
      <c r="A3" s="142"/>
    </row>
    <row r="4" ht="18.75">
      <c r="A4" s="156" t="s">
        <v>283</v>
      </c>
    </row>
    <row r="5" spans="1:6" ht="57.75" customHeight="1">
      <c r="A5" s="168" t="s">
        <v>242</v>
      </c>
      <c r="B5" s="168"/>
      <c r="C5" s="168"/>
      <c r="D5" s="168"/>
      <c r="E5" s="168"/>
      <c r="F5" s="168"/>
    </row>
    <row r="6" spans="1:6" ht="41.25" customHeight="1">
      <c r="A6" s="168" t="s">
        <v>243</v>
      </c>
      <c r="B6" s="168"/>
      <c r="C6" s="168"/>
      <c r="D6" s="168"/>
      <c r="E6" s="168"/>
      <c r="F6" s="168"/>
    </row>
    <row r="7" spans="1:6" ht="30.75" customHeight="1">
      <c r="A7" s="168" t="s">
        <v>284</v>
      </c>
      <c r="B7" s="168"/>
      <c r="C7" s="168"/>
      <c r="D7" s="168"/>
      <c r="E7" s="168"/>
      <c r="F7" s="168"/>
    </row>
    <row r="8" spans="1:6" ht="30.75" customHeight="1">
      <c r="A8" s="153"/>
      <c r="B8" s="153"/>
      <c r="C8" s="153"/>
      <c r="D8" s="153"/>
      <c r="E8" s="153"/>
      <c r="F8" s="153"/>
    </row>
    <row r="9" ht="23.25">
      <c r="A9" s="156" t="s">
        <v>244</v>
      </c>
    </row>
    <row r="10" ht="12.75">
      <c r="A10" s="144" t="s">
        <v>245</v>
      </c>
    </row>
    <row r="11" spans="1:6" ht="45.75" customHeight="1" thickBot="1">
      <c r="A11" s="168" t="s">
        <v>246</v>
      </c>
      <c r="B11" s="168"/>
      <c r="C11" s="168"/>
      <c r="D11" s="168"/>
      <c r="E11" s="168"/>
      <c r="F11" s="168"/>
    </row>
    <row r="12" spans="1:3" ht="26.25" thickBot="1">
      <c r="A12" s="145" t="s">
        <v>247</v>
      </c>
      <c r="B12" s="146" t="s">
        <v>248</v>
      </c>
      <c r="C12" s="146" t="s">
        <v>249</v>
      </c>
    </row>
    <row r="13" spans="1:3" ht="26.25" thickBot="1">
      <c r="A13" s="147" t="s">
        <v>250</v>
      </c>
      <c r="B13" s="148" t="s">
        <v>251</v>
      </c>
      <c r="C13" s="150" t="s">
        <v>252</v>
      </c>
    </row>
    <row r="14" spans="1:3" ht="26.25" thickBot="1">
      <c r="A14" s="147" t="s">
        <v>253</v>
      </c>
      <c r="B14" s="148" t="s">
        <v>254</v>
      </c>
      <c r="C14" s="150" t="s">
        <v>255</v>
      </c>
    </row>
    <row r="15" spans="1:3" ht="26.25" thickBot="1">
      <c r="A15" s="147" t="s">
        <v>256</v>
      </c>
      <c r="B15" s="148" t="s">
        <v>257</v>
      </c>
      <c r="C15" s="150" t="s">
        <v>258</v>
      </c>
    </row>
    <row r="16" spans="1:3" ht="26.25" thickBot="1">
      <c r="A16" s="147" t="s">
        <v>259</v>
      </c>
      <c r="B16" s="148" t="s">
        <v>260</v>
      </c>
      <c r="C16" s="150" t="s">
        <v>261</v>
      </c>
    </row>
    <row r="17" spans="1:6" ht="62.25" customHeight="1">
      <c r="A17" s="168" t="s">
        <v>262</v>
      </c>
      <c r="B17" s="168"/>
      <c r="C17" s="168"/>
      <c r="D17" s="168"/>
      <c r="E17" s="168"/>
      <c r="F17" s="168"/>
    </row>
    <row r="18" ht="12.75">
      <c r="A18" s="151"/>
    </row>
    <row r="19" ht="12.75">
      <c r="A19" s="142" t="s">
        <v>263</v>
      </c>
    </row>
    <row r="20" spans="1:3" ht="26.25" customHeight="1">
      <c r="A20" s="154" t="s">
        <v>264</v>
      </c>
      <c r="B20" s="169" t="s">
        <v>265</v>
      </c>
      <c r="C20" s="169"/>
    </row>
    <row r="21" spans="1:3" ht="69.75" customHeight="1">
      <c r="A21" s="155" t="s">
        <v>150</v>
      </c>
      <c r="B21" s="170" t="s">
        <v>266</v>
      </c>
      <c r="C21" s="170"/>
    </row>
    <row r="22" spans="1:3" ht="33" customHeight="1">
      <c r="A22" s="155" t="s">
        <v>39</v>
      </c>
      <c r="B22" s="170" t="s">
        <v>267</v>
      </c>
      <c r="C22" s="170"/>
    </row>
    <row r="23" spans="1:3" ht="22.5" customHeight="1">
      <c r="A23" s="155" t="s">
        <v>40</v>
      </c>
      <c r="B23" s="170" t="s">
        <v>268</v>
      </c>
      <c r="C23" s="170"/>
    </row>
    <row r="24" spans="1:3" ht="62.25" customHeight="1">
      <c r="A24" s="155" t="s">
        <v>41</v>
      </c>
      <c r="B24" s="170" t="s">
        <v>269</v>
      </c>
      <c r="C24" s="170"/>
    </row>
    <row r="25" spans="1:3" ht="17.25" customHeight="1">
      <c r="A25" s="157"/>
      <c r="B25" s="158"/>
      <c r="C25" s="158"/>
    </row>
    <row r="26" ht="12.75">
      <c r="A26" s="144" t="s">
        <v>270</v>
      </c>
    </row>
    <row r="27" spans="1:6" ht="75" customHeight="1">
      <c r="A27" s="171" t="s">
        <v>271</v>
      </c>
      <c r="B27" s="171"/>
      <c r="C27" s="171"/>
      <c r="D27" s="171"/>
      <c r="E27" s="171"/>
      <c r="F27" s="171"/>
    </row>
    <row r="28" spans="1:6" ht="26.25" customHeight="1">
      <c r="A28" s="152"/>
      <c r="B28" s="152"/>
      <c r="C28" s="152"/>
      <c r="D28" s="152"/>
      <c r="E28" s="152"/>
      <c r="F28" s="152"/>
    </row>
    <row r="29" ht="12.75">
      <c r="A29" s="144" t="s">
        <v>272</v>
      </c>
    </row>
    <row r="30" spans="1:6" ht="58.5" customHeight="1">
      <c r="A30" s="168" t="s">
        <v>273</v>
      </c>
      <c r="B30" s="168"/>
      <c r="C30" s="168"/>
      <c r="D30" s="168"/>
      <c r="E30" s="168"/>
      <c r="F30" s="168"/>
    </row>
    <row r="31" spans="1:6" ht="51.75" customHeight="1">
      <c r="A31" s="168" t="s">
        <v>274</v>
      </c>
      <c r="B31" s="168"/>
      <c r="C31" s="168"/>
      <c r="D31" s="168"/>
      <c r="E31" s="168"/>
      <c r="F31" s="168"/>
    </row>
    <row r="32" spans="1:6" ht="24" customHeight="1">
      <c r="A32" s="153"/>
      <c r="B32" s="153"/>
      <c r="C32" s="153"/>
      <c r="D32" s="153"/>
      <c r="E32" s="153"/>
      <c r="F32" s="153"/>
    </row>
    <row r="33" ht="12.75">
      <c r="A33" s="144" t="s">
        <v>275</v>
      </c>
    </row>
    <row r="34" spans="1:6" ht="99" customHeight="1">
      <c r="A34" s="168" t="s">
        <v>276</v>
      </c>
      <c r="B34" s="168"/>
      <c r="C34" s="168"/>
      <c r="D34" s="168"/>
      <c r="E34" s="168"/>
      <c r="F34" s="168"/>
    </row>
    <row r="35" ht="12.75">
      <c r="A35" s="144" t="s">
        <v>277</v>
      </c>
    </row>
    <row r="36" spans="1:6" ht="61.5" customHeight="1">
      <c r="A36" s="168" t="s">
        <v>278</v>
      </c>
      <c r="B36" s="168"/>
      <c r="C36" s="168"/>
      <c r="D36" s="168"/>
      <c r="E36" s="168"/>
      <c r="F36" s="168"/>
    </row>
    <row r="37" ht="23.25">
      <c r="A37" s="143" t="s">
        <v>279</v>
      </c>
    </row>
    <row r="38" ht="12.75">
      <c r="A38" s="142" t="s">
        <v>280</v>
      </c>
    </row>
    <row r="39" ht="12.75">
      <c r="A39" s="142" t="s">
        <v>281</v>
      </c>
    </row>
    <row r="40" spans="1:6" ht="25.5" customHeight="1">
      <c r="A40" s="168" t="s">
        <v>282</v>
      </c>
      <c r="B40" s="168"/>
      <c r="C40" s="168"/>
      <c r="D40" s="168"/>
      <c r="E40" s="168"/>
      <c r="F40" s="168"/>
    </row>
  </sheetData>
  <mergeCells count="17">
    <mergeCell ref="A40:F40"/>
    <mergeCell ref="A30:F30"/>
    <mergeCell ref="A31:F31"/>
    <mergeCell ref="A34:F34"/>
    <mergeCell ref="A36:F36"/>
    <mergeCell ref="B22:C22"/>
    <mergeCell ref="B23:C23"/>
    <mergeCell ref="B24:C24"/>
    <mergeCell ref="A27:F27"/>
    <mergeCell ref="A11:F11"/>
    <mergeCell ref="A17:F17"/>
    <mergeCell ref="B20:C20"/>
    <mergeCell ref="B21:C21"/>
    <mergeCell ref="A1:F1"/>
    <mergeCell ref="A5:F5"/>
    <mergeCell ref="A6:F6"/>
    <mergeCell ref="A7:F7"/>
  </mergeCells>
  <printOptions/>
  <pageMargins left="0.75" right="0.75" top="1" bottom="1" header="0.5" footer="0.5"/>
  <pageSetup horizontalDpi="600" verticalDpi="600" orientation="portrait" r:id="rId1"/>
  <headerFooter alignWithMargins="0">
    <oddHeader>&amp;C&amp;F</oddHeader>
    <oddFooter>&amp;C&amp;A&amp;RPage &amp;P</oddFooter>
  </headerFooter>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Stuart Williams</Manager>
  <Company>Blitzkrieg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COCOMO</dc:title>
  <dc:subject>Estimation of Cost/Size/Time</dc:subject>
  <dc:creator>William Reynolds</dc:creator>
  <cp:keywords>COCOMO </cp:keywords>
  <dc:description>From Boehm, Barry.
Modified by Stuart Williams</dc:description>
  <cp:lastModifiedBy>Maxwell</cp:lastModifiedBy>
  <cp:lastPrinted>2004-02-13T21:27:44Z</cp:lastPrinted>
  <dcterms:created xsi:type="dcterms:W3CDTF">1996-10-25T00:35:55Z</dcterms:created>
  <dcterms:modified xsi:type="dcterms:W3CDTF">2009-05-06T04:07:04Z</dcterms:modified>
  <cp:category>COCOMO</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vision">
    <vt:lpwstr>ASU</vt:lpwstr>
  </property>
</Properties>
</file>