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omer\Desktop\PARA TRABAJOS 2020-3\ECONOMIA 1\TRABAJO FINAL\"/>
    </mc:Choice>
  </mc:AlternateContent>
  <xr:revisionPtr revIDLastSave="0" documentId="13_ncr:1_{74D76BFD-35AC-4C20-B210-AAEEC011688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ESUPUESTO NIIF " sheetId="7" r:id="rId1"/>
    <sheet name="VENTAS Y COMPRAS" sheetId="1" r:id="rId2"/>
    <sheet name="GASTOS" sheetId="2" r:id="rId3"/>
    <sheet name="NOMINA ADMINISTRADORES" sheetId="5" r:id="rId4"/>
    <sheet name="NOMINA VENDEDORES" sheetId="6" r:id="rId5"/>
    <sheet name="NOMINA GERENTE" sheetId="4" r:id="rId6"/>
    <sheet name="PRESTAMO" sheetId="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7" l="1"/>
  <c r="D63" i="7"/>
  <c r="D62" i="7"/>
  <c r="D50" i="7"/>
  <c r="D61" i="2"/>
  <c r="Z7" i="1"/>
  <c r="Q7" i="1"/>
  <c r="D46" i="7" l="1"/>
  <c r="D49" i="7" s="1"/>
  <c r="D55" i="7"/>
  <c r="E196" i="5"/>
  <c r="D196" i="5"/>
  <c r="D196" i="6"/>
  <c r="E196" i="6" s="1"/>
  <c r="E196" i="4"/>
  <c r="D196" i="4"/>
  <c r="F57" i="7"/>
  <c r="E57" i="7"/>
  <c r="D57" i="7"/>
  <c r="F49" i="7"/>
  <c r="E49" i="7"/>
  <c r="E44" i="7"/>
  <c r="E50" i="7" s="1"/>
  <c r="D44" i="7"/>
  <c r="F44" i="7"/>
  <c r="AO9" i="1"/>
  <c r="C48" i="2"/>
  <c r="C52" i="2" s="1"/>
  <c r="C51" i="2"/>
  <c r="B51" i="2"/>
  <c r="D50" i="2"/>
  <c r="C50" i="2"/>
  <c r="B50" i="2"/>
  <c r="C49" i="2"/>
  <c r="B49" i="2"/>
  <c r="B48" i="2"/>
  <c r="D44" i="2"/>
  <c r="E44" i="2" s="1"/>
  <c r="F44" i="2" s="1"/>
  <c r="F51" i="2" s="1"/>
  <c r="E43" i="2"/>
  <c r="F43" i="2" s="1"/>
  <c r="F50" i="2" s="1"/>
  <c r="D43" i="2"/>
  <c r="D42" i="2"/>
  <c r="E42" i="2" s="1"/>
  <c r="F42" i="2" s="1"/>
  <c r="F49" i="2" s="1"/>
  <c r="D41" i="2"/>
  <c r="E41" i="2" s="1"/>
  <c r="C36" i="2"/>
  <c r="B36" i="2"/>
  <c r="C35" i="2"/>
  <c r="B35" i="2"/>
  <c r="C34" i="2"/>
  <c r="B34" i="2"/>
  <c r="C33" i="2"/>
  <c r="B33" i="2"/>
  <c r="C32" i="2"/>
  <c r="B32" i="2"/>
  <c r="D28" i="2"/>
  <c r="D36" i="2" s="1"/>
  <c r="D27" i="2"/>
  <c r="D35" i="2" s="1"/>
  <c r="D26" i="2"/>
  <c r="D34" i="2" s="1"/>
  <c r="D25" i="2"/>
  <c r="E25" i="2" s="1"/>
  <c r="E33" i="2" s="1"/>
  <c r="D24" i="2"/>
  <c r="D32" i="2" s="1"/>
  <c r="C14" i="2"/>
  <c r="C15" i="2"/>
  <c r="D15" i="2"/>
  <c r="C16" i="2"/>
  <c r="C17" i="2"/>
  <c r="C13" i="2"/>
  <c r="B17" i="2"/>
  <c r="B14" i="2"/>
  <c r="B15" i="2"/>
  <c r="B16" i="2"/>
  <c r="B13" i="2"/>
  <c r="E7" i="2"/>
  <c r="E15" i="2" s="1"/>
  <c r="D6" i="2"/>
  <c r="D14" i="2" s="1"/>
  <c r="D7" i="2"/>
  <c r="D8" i="2"/>
  <c r="D16" i="2" s="1"/>
  <c r="D9" i="2"/>
  <c r="D17" i="2" s="1"/>
  <c r="D5" i="2"/>
  <c r="D13" i="2" s="1"/>
  <c r="F181" i="6"/>
  <c r="G181" i="6" s="1"/>
  <c r="H181" i="6" s="1"/>
  <c r="I181" i="6" s="1"/>
  <c r="J181" i="6" s="1"/>
  <c r="K181" i="6" s="1"/>
  <c r="L181" i="6" s="1"/>
  <c r="M181" i="6" s="1"/>
  <c r="N181" i="6" s="1"/>
  <c r="D181" i="6"/>
  <c r="E181" i="6" s="1"/>
  <c r="D147" i="6"/>
  <c r="D146" i="6"/>
  <c r="E133" i="6"/>
  <c r="F133" i="6" s="1"/>
  <c r="G133" i="6" s="1"/>
  <c r="H133" i="6" s="1"/>
  <c r="I133" i="6" s="1"/>
  <c r="J133" i="6" s="1"/>
  <c r="K133" i="6" s="1"/>
  <c r="L133" i="6" s="1"/>
  <c r="M133" i="6" s="1"/>
  <c r="N133" i="6" s="1"/>
  <c r="D133" i="6"/>
  <c r="D99" i="6"/>
  <c r="D98" i="6"/>
  <c r="D85" i="6"/>
  <c r="E85" i="6" s="1"/>
  <c r="F85" i="6" s="1"/>
  <c r="G85" i="6" s="1"/>
  <c r="H85" i="6" s="1"/>
  <c r="I85" i="6" s="1"/>
  <c r="J85" i="6" s="1"/>
  <c r="K85" i="6" s="1"/>
  <c r="L85" i="6" s="1"/>
  <c r="M85" i="6" s="1"/>
  <c r="N85" i="6" s="1"/>
  <c r="C54" i="6"/>
  <c r="C55" i="6" s="1"/>
  <c r="D51" i="6"/>
  <c r="D50" i="6"/>
  <c r="D37" i="6"/>
  <c r="E37" i="6" s="1"/>
  <c r="F37" i="6" s="1"/>
  <c r="G37" i="6" s="1"/>
  <c r="H37" i="6" s="1"/>
  <c r="I37" i="6" s="1"/>
  <c r="J37" i="6" s="1"/>
  <c r="K37" i="6" s="1"/>
  <c r="L37" i="6" s="1"/>
  <c r="M37" i="6" s="1"/>
  <c r="N37" i="6" s="1"/>
  <c r="C33" i="6"/>
  <c r="C7" i="6"/>
  <c r="C12" i="6" s="1"/>
  <c r="D6" i="6"/>
  <c r="D3" i="6"/>
  <c r="D2" i="6"/>
  <c r="C7" i="5"/>
  <c r="D181" i="5"/>
  <c r="E181" i="5" s="1"/>
  <c r="F181" i="5" s="1"/>
  <c r="G181" i="5" s="1"/>
  <c r="H181" i="5" s="1"/>
  <c r="I181" i="5" s="1"/>
  <c r="J181" i="5" s="1"/>
  <c r="K181" i="5" s="1"/>
  <c r="L181" i="5" s="1"/>
  <c r="M181" i="5" s="1"/>
  <c r="N181" i="5" s="1"/>
  <c r="D147" i="5"/>
  <c r="D146" i="5"/>
  <c r="D133" i="5"/>
  <c r="E133" i="5" s="1"/>
  <c r="F133" i="5" s="1"/>
  <c r="G133" i="5" s="1"/>
  <c r="H133" i="5" s="1"/>
  <c r="I133" i="5" s="1"/>
  <c r="J133" i="5" s="1"/>
  <c r="K133" i="5" s="1"/>
  <c r="L133" i="5" s="1"/>
  <c r="M133" i="5" s="1"/>
  <c r="N133" i="5" s="1"/>
  <c r="D99" i="5"/>
  <c r="D98" i="5"/>
  <c r="D85" i="5"/>
  <c r="E85" i="5" s="1"/>
  <c r="F85" i="5" s="1"/>
  <c r="G85" i="5" s="1"/>
  <c r="H85" i="5" s="1"/>
  <c r="I85" i="5" s="1"/>
  <c r="J85" i="5" s="1"/>
  <c r="K85" i="5" s="1"/>
  <c r="L85" i="5" s="1"/>
  <c r="M85" i="5" s="1"/>
  <c r="N85" i="5" s="1"/>
  <c r="C54" i="5"/>
  <c r="C55" i="5" s="1"/>
  <c r="D51" i="5"/>
  <c r="D50" i="5"/>
  <c r="D37" i="5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C33" i="5"/>
  <c r="C12" i="5"/>
  <c r="D6" i="5"/>
  <c r="D33" i="5" s="1"/>
  <c r="D3" i="5"/>
  <c r="D2" i="5"/>
  <c r="C102" i="4"/>
  <c r="C54" i="4"/>
  <c r="C55" i="4" s="1"/>
  <c r="F181" i="4"/>
  <c r="G181" i="4" s="1"/>
  <c r="H181" i="4" s="1"/>
  <c r="I181" i="4" s="1"/>
  <c r="J181" i="4" s="1"/>
  <c r="K181" i="4" s="1"/>
  <c r="L181" i="4" s="1"/>
  <c r="M181" i="4" s="1"/>
  <c r="N181" i="4" s="1"/>
  <c r="D181" i="4"/>
  <c r="E181" i="4" s="1"/>
  <c r="D147" i="4"/>
  <c r="D146" i="4"/>
  <c r="D133" i="4"/>
  <c r="E133" i="4" s="1"/>
  <c r="F133" i="4" s="1"/>
  <c r="G133" i="4" s="1"/>
  <c r="H133" i="4" s="1"/>
  <c r="I133" i="4" s="1"/>
  <c r="J133" i="4" s="1"/>
  <c r="K133" i="4" s="1"/>
  <c r="L133" i="4" s="1"/>
  <c r="M133" i="4" s="1"/>
  <c r="N133" i="4" s="1"/>
  <c r="D99" i="4"/>
  <c r="D98" i="4"/>
  <c r="D85" i="4"/>
  <c r="E85" i="4" s="1"/>
  <c r="F85" i="4" s="1"/>
  <c r="G85" i="4" s="1"/>
  <c r="H85" i="4" s="1"/>
  <c r="I85" i="4" s="1"/>
  <c r="J85" i="4" s="1"/>
  <c r="K85" i="4" s="1"/>
  <c r="L85" i="4" s="1"/>
  <c r="M85" i="4" s="1"/>
  <c r="N85" i="4" s="1"/>
  <c r="D54" i="4"/>
  <c r="D55" i="4" s="1"/>
  <c r="D51" i="4"/>
  <c r="D50" i="4"/>
  <c r="D37" i="4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C33" i="4"/>
  <c r="D3" i="4"/>
  <c r="D2" i="4"/>
  <c r="D5" i="3"/>
  <c r="B5" i="3"/>
  <c r="B4" i="3"/>
  <c r="D9" i="3"/>
  <c r="B3" i="3"/>
  <c r="B2" i="3"/>
  <c r="M120" i="1"/>
  <c r="M61" i="1"/>
  <c r="K4" i="1"/>
  <c r="K63" i="1"/>
  <c r="L168" i="1"/>
  <c r="L153" i="1"/>
  <c r="L145" i="1"/>
  <c r="L136" i="1"/>
  <c r="L129" i="1"/>
  <c r="L115" i="1"/>
  <c r="L174" i="1" s="1"/>
  <c r="L114" i="1"/>
  <c r="L173" i="1" s="1"/>
  <c r="L113" i="1"/>
  <c r="L172" i="1" s="1"/>
  <c r="L112" i="1"/>
  <c r="L171" i="1" s="1"/>
  <c r="L111" i="1"/>
  <c r="L170" i="1" s="1"/>
  <c r="L110" i="1"/>
  <c r="L169" i="1" s="1"/>
  <c r="L109" i="1"/>
  <c r="L108" i="1"/>
  <c r="L167" i="1" s="1"/>
  <c r="L107" i="1"/>
  <c r="L166" i="1" s="1"/>
  <c r="L106" i="1"/>
  <c r="L165" i="1" s="1"/>
  <c r="L105" i="1"/>
  <c r="L164" i="1" s="1"/>
  <c r="L104" i="1"/>
  <c r="L163" i="1" s="1"/>
  <c r="L96" i="1"/>
  <c r="L155" i="1" s="1"/>
  <c r="L95" i="1"/>
  <c r="L154" i="1" s="1"/>
  <c r="L94" i="1"/>
  <c r="L93" i="1"/>
  <c r="L152" i="1" s="1"/>
  <c r="L92" i="1"/>
  <c r="L151" i="1" s="1"/>
  <c r="L91" i="1"/>
  <c r="L150" i="1" s="1"/>
  <c r="L90" i="1"/>
  <c r="L149" i="1" s="1"/>
  <c r="L89" i="1"/>
  <c r="L148" i="1" s="1"/>
  <c r="L88" i="1"/>
  <c r="L147" i="1" s="1"/>
  <c r="L87" i="1"/>
  <c r="L146" i="1" s="1"/>
  <c r="L86" i="1"/>
  <c r="L85" i="1"/>
  <c r="L144" i="1" s="1"/>
  <c r="L67" i="1"/>
  <c r="L126" i="1" s="1"/>
  <c r="L68" i="1"/>
  <c r="L127" i="1" s="1"/>
  <c r="L69" i="1"/>
  <c r="L128" i="1" s="1"/>
  <c r="L70" i="1"/>
  <c r="L71" i="1"/>
  <c r="L130" i="1" s="1"/>
  <c r="L72" i="1"/>
  <c r="L131" i="1" s="1"/>
  <c r="L73" i="1"/>
  <c r="L132" i="1" s="1"/>
  <c r="L74" i="1"/>
  <c r="L133" i="1" s="1"/>
  <c r="L75" i="1"/>
  <c r="L134" i="1" s="1"/>
  <c r="L76" i="1"/>
  <c r="L135" i="1" s="1"/>
  <c r="L77" i="1"/>
  <c r="L66" i="1"/>
  <c r="L125" i="1" s="1"/>
  <c r="C85" i="1"/>
  <c r="C144" i="1" s="1"/>
  <c r="B122" i="1"/>
  <c r="K122" i="1" s="1"/>
  <c r="C136" i="1"/>
  <c r="C133" i="1"/>
  <c r="C132" i="1"/>
  <c r="C129" i="1"/>
  <c r="C128" i="1"/>
  <c r="C125" i="1"/>
  <c r="C115" i="1"/>
  <c r="C174" i="1" s="1"/>
  <c r="C114" i="1"/>
  <c r="C173" i="1" s="1"/>
  <c r="C113" i="1"/>
  <c r="C172" i="1" s="1"/>
  <c r="C112" i="1"/>
  <c r="C171" i="1" s="1"/>
  <c r="C111" i="1"/>
  <c r="C170" i="1" s="1"/>
  <c r="C110" i="1"/>
  <c r="C169" i="1" s="1"/>
  <c r="C109" i="1"/>
  <c r="C168" i="1" s="1"/>
  <c r="C108" i="1"/>
  <c r="C167" i="1" s="1"/>
  <c r="C107" i="1"/>
  <c r="C166" i="1" s="1"/>
  <c r="C106" i="1"/>
  <c r="C165" i="1" s="1"/>
  <c r="C105" i="1"/>
  <c r="C164" i="1" s="1"/>
  <c r="C104" i="1"/>
  <c r="C163" i="1" s="1"/>
  <c r="C96" i="1"/>
  <c r="C155" i="1" s="1"/>
  <c r="C95" i="1"/>
  <c r="C154" i="1" s="1"/>
  <c r="C94" i="1"/>
  <c r="C153" i="1" s="1"/>
  <c r="C93" i="1"/>
  <c r="C152" i="1" s="1"/>
  <c r="C92" i="1"/>
  <c r="C151" i="1" s="1"/>
  <c r="C91" i="1"/>
  <c r="C150" i="1" s="1"/>
  <c r="C90" i="1"/>
  <c r="C149" i="1" s="1"/>
  <c r="C89" i="1"/>
  <c r="C148" i="1" s="1"/>
  <c r="C88" i="1"/>
  <c r="C147" i="1" s="1"/>
  <c r="C87" i="1"/>
  <c r="C146" i="1" s="1"/>
  <c r="C86" i="1"/>
  <c r="C145" i="1" s="1"/>
  <c r="C67" i="1"/>
  <c r="C126" i="1" s="1"/>
  <c r="C68" i="1"/>
  <c r="C127" i="1" s="1"/>
  <c r="C69" i="1"/>
  <c r="C70" i="1"/>
  <c r="C71" i="1"/>
  <c r="C130" i="1" s="1"/>
  <c r="C72" i="1"/>
  <c r="C131" i="1" s="1"/>
  <c r="C73" i="1"/>
  <c r="C74" i="1"/>
  <c r="C75" i="1"/>
  <c r="C134" i="1" s="1"/>
  <c r="C76" i="1"/>
  <c r="C135" i="1" s="1"/>
  <c r="C77" i="1"/>
  <c r="C66" i="1"/>
  <c r="B101" i="1"/>
  <c r="B160" i="1" s="1"/>
  <c r="K160" i="1" s="1"/>
  <c r="B100" i="1"/>
  <c r="B82" i="1"/>
  <c r="B141" i="1" s="1"/>
  <c r="K141" i="1" s="1"/>
  <c r="B63" i="1"/>
  <c r="D45" i="1"/>
  <c r="D104" i="1" s="1"/>
  <c r="D163" i="1" s="1"/>
  <c r="D26" i="1"/>
  <c r="D85" i="1" s="1"/>
  <c r="D144" i="1" s="1"/>
  <c r="D7" i="1"/>
  <c r="D66" i="1" s="1"/>
  <c r="D125" i="1" s="1"/>
  <c r="M8" i="1"/>
  <c r="D8" i="1" s="1"/>
  <c r="D67" i="1" s="1"/>
  <c r="D126" i="1" s="1"/>
  <c r="S162" i="1"/>
  <c r="I162" i="1"/>
  <c r="S143" i="1"/>
  <c r="I143" i="1"/>
  <c r="K140" i="1"/>
  <c r="K159" i="1" s="1"/>
  <c r="B140" i="1"/>
  <c r="B159" i="1" s="1"/>
  <c r="S124" i="1"/>
  <c r="I124" i="1"/>
  <c r="S103" i="1"/>
  <c r="I103" i="1"/>
  <c r="K100" i="1"/>
  <c r="S84" i="1"/>
  <c r="I84" i="1"/>
  <c r="K82" i="1"/>
  <c r="K81" i="1"/>
  <c r="B81" i="1"/>
  <c r="S65" i="1"/>
  <c r="I65" i="1"/>
  <c r="L58" i="1"/>
  <c r="L57" i="1"/>
  <c r="M46" i="1"/>
  <c r="M47" i="1" s="1"/>
  <c r="N45" i="1"/>
  <c r="AI44" i="1"/>
  <c r="S44" i="1"/>
  <c r="I44" i="1"/>
  <c r="AI42" i="1"/>
  <c r="K42" i="1"/>
  <c r="AI40" i="1"/>
  <c r="AI38" i="1"/>
  <c r="AI36" i="1"/>
  <c r="AI34" i="1"/>
  <c r="AI32" i="1"/>
  <c r="AI30" i="1"/>
  <c r="AI28" i="1"/>
  <c r="AI26" i="1"/>
  <c r="M27" i="1"/>
  <c r="M28" i="1" s="1"/>
  <c r="N26" i="1"/>
  <c r="S25" i="1"/>
  <c r="I25" i="1"/>
  <c r="AI24" i="1"/>
  <c r="K23" i="1"/>
  <c r="AI22" i="1"/>
  <c r="AI20" i="1"/>
  <c r="AI18" i="1"/>
  <c r="W18" i="1"/>
  <c r="W30" i="1" s="1"/>
  <c r="W17" i="1"/>
  <c r="AD17" i="1" s="1"/>
  <c r="AI16" i="1"/>
  <c r="W16" i="1"/>
  <c r="W28" i="1" s="1"/>
  <c r="W15" i="1"/>
  <c r="W27" i="1" s="1"/>
  <c r="AI14" i="1"/>
  <c r="W14" i="1"/>
  <c r="W26" i="1" s="1"/>
  <c r="W13" i="1"/>
  <c r="AD13" i="1" s="1"/>
  <c r="AI12" i="1"/>
  <c r="W12" i="1"/>
  <c r="W24" i="1" s="1"/>
  <c r="W11" i="1"/>
  <c r="W23" i="1" s="1"/>
  <c r="AI10" i="1"/>
  <c r="W10" i="1"/>
  <c r="W22" i="1" s="1"/>
  <c r="AT9" i="1"/>
  <c r="AP9" i="1"/>
  <c r="W9" i="1"/>
  <c r="AI8" i="1"/>
  <c r="W8" i="1"/>
  <c r="W20" i="1" s="1"/>
  <c r="N8" i="1"/>
  <c r="AI7" i="1"/>
  <c r="W7" i="1"/>
  <c r="W19" i="1" s="1"/>
  <c r="N7" i="1"/>
  <c r="S6" i="1"/>
  <c r="I6" i="1"/>
  <c r="M29" i="1" l="1"/>
  <c r="M87" i="1"/>
  <c r="M146" i="1" s="1"/>
  <c r="C103" i="4"/>
  <c r="C108" i="4" s="1"/>
  <c r="C150" i="4"/>
  <c r="M86" i="1"/>
  <c r="M145" i="1" s="1"/>
  <c r="D33" i="6"/>
  <c r="E6" i="6"/>
  <c r="E33" i="6" s="1"/>
  <c r="M48" i="1"/>
  <c r="M106" i="1"/>
  <c r="M165" i="1" s="1"/>
  <c r="M105" i="1"/>
  <c r="M164" i="1" s="1"/>
  <c r="N164" i="1" s="1"/>
  <c r="M67" i="1"/>
  <c r="M126" i="1" s="1"/>
  <c r="N126" i="1" s="1"/>
  <c r="AD11" i="1"/>
  <c r="AD15" i="1"/>
  <c r="K101" i="1"/>
  <c r="M9" i="1"/>
  <c r="M104" i="1"/>
  <c r="M163" i="1" s="1"/>
  <c r="M85" i="1"/>
  <c r="M66" i="1"/>
  <c r="M125" i="1" s="1"/>
  <c r="C18" i="2"/>
  <c r="E51" i="2"/>
  <c r="D54" i="6"/>
  <c r="E27" i="2"/>
  <c r="E35" i="2" s="1"/>
  <c r="F50" i="7"/>
  <c r="F41" i="2"/>
  <c r="F48" i="2" s="1"/>
  <c r="F52" i="2" s="1"/>
  <c r="F30" i="7" s="1"/>
  <c r="E48" i="2"/>
  <c r="E5" i="2"/>
  <c r="D48" i="2"/>
  <c r="E49" i="2"/>
  <c r="E9" i="2"/>
  <c r="E17" i="2" s="1"/>
  <c r="D49" i="2"/>
  <c r="E50" i="2"/>
  <c r="D51" i="2"/>
  <c r="D33" i="2"/>
  <c r="A36" i="2" s="1"/>
  <c r="C37" i="2"/>
  <c r="E24" i="2"/>
  <c r="F25" i="2"/>
  <c r="F33" i="2" s="1"/>
  <c r="E26" i="2"/>
  <c r="E28" i="2"/>
  <c r="D18" i="2"/>
  <c r="D27" i="7" s="1"/>
  <c r="E8" i="2"/>
  <c r="E6" i="2"/>
  <c r="F7" i="2"/>
  <c r="F15" i="2" s="1"/>
  <c r="C31" i="6"/>
  <c r="C32" i="6" s="1"/>
  <c r="C30" i="6"/>
  <c r="C13" i="6"/>
  <c r="K23" i="6" s="1"/>
  <c r="E7" i="6"/>
  <c r="E12" i="6" s="1"/>
  <c r="D81" i="6"/>
  <c r="C23" i="6"/>
  <c r="F6" i="6"/>
  <c r="D7" i="6"/>
  <c r="D12" i="6" s="1"/>
  <c r="N23" i="6"/>
  <c r="C60" i="6"/>
  <c r="C81" i="6"/>
  <c r="C102" i="6"/>
  <c r="C31" i="5"/>
  <c r="C32" i="5" s="1"/>
  <c r="C30" i="5"/>
  <c r="C13" i="5"/>
  <c r="K23" i="5"/>
  <c r="G23" i="5"/>
  <c r="C23" i="5"/>
  <c r="D7" i="5"/>
  <c r="D12" i="5"/>
  <c r="H23" i="5"/>
  <c r="C102" i="5"/>
  <c r="D54" i="5"/>
  <c r="D55" i="5" s="1"/>
  <c r="C60" i="5"/>
  <c r="C81" i="5"/>
  <c r="E6" i="5"/>
  <c r="F23" i="5"/>
  <c r="N23" i="5"/>
  <c r="C7" i="4"/>
  <c r="C12" i="4" s="1"/>
  <c r="D81" i="4"/>
  <c r="D60" i="4"/>
  <c r="C60" i="4"/>
  <c r="C81" i="4"/>
  <c r="D6" i="4"/>
  <c r="E54" i="4"/>
  <c r="E55" i="4" s="1"/>
  <c r="C129" i="4"/>
  <c r="D102" i="4"/>
  <c r="D103" i="4" s="1"/>
  <c r="E9" i="3"/>
  <c r="D6" i="3"/>
  <c r="N46" i="1"/>
  <c r="P46" i="1" s="1"/>
  <c r="D47" i="1"/>
  <c r="D106" i="1" s="1"/>
  <c r="D165" i="1" s="1"/>
  <c r="N48" i="1"/>
  <c r="O48" i="1" s="1"/>
  <c r="D48" i="1"/>
  <c r="D46" i="1"/>
  <c r="D28" i="1"/>
  <c r="D29" i="1"/>
  <c r="D27" i="1"/>
  <c r="P7" i="1"/>
  <c r="O7" i="1"/>
  <c r="O8" i="1"/>
  <c r="P8" i="1"/>
  <c r="W31" i="1"/>
  <c r="AD19" i="1"/>
  <c r="AD7" i="1"/>
  <c r="E8" i="1"/>
  <c r="W21" i="1"/>
  <c r="AD9" i="1"/>
  <c r="W36" i="1"/>
  <c r="AD36" i="1" s="1"/>
  <c r="AD24" i="1"/>
  <c r="AD12" i="1"/>
  <c r="W39" i="1"/>
  <c r="AD39" i="1" s="1"/>
  <c r="AD27" i="1"/>
  <c r="W40" i="1"/>
  <c r="AD40" i="1" s="1"/>
  <c r="AD28" i="1"/>
  <c r="W42" i="1"/>
  <c r="AD42" i="1" s="1"/>
  <c r="AD30" i="1"/>
  <c r="O26" i="1"/>
  <c r="P26" i="1"/>
  <c r="N27" i="1"/>
  <c r="N28" i="1"/>
  <c r="N29" i="1"/>
  <c r="O45" i="1"/>
  <c r="P45" i="1"/>
  <c r="E7" i="1"/>
  <c r="W32" i="1"/>
  <c r="AD20" i="1"/>
  <c r="AD8" i="1"/>
  <c r="W34" i="1"/>
  <c r="AD34" i="1" s="1"/>
  <c r="AD22" i="1"/>
  <c r="W35" i="1"/>
  <c r="AD35" i="1" s="1"/>
  <c r="AD23" i="1"/>
  <c r="W38" i="1"/>
  <c r="AD38" i="1" s="1"/>
  <c r="AD26" i="1"/>
  <c r="AD16" i="1"/>
  <c r="W25" i="1"/>
  <c r="E26" i="1"/>
  <c r="W29" i="1"/>
  <c r="E67" i="1"/>
  <c r="E66" i="1"/>
  <c r="AD10" i="1"/>
  <c r="AD14" i="1"/>
  <c r="AD18" i="1"/>
  <c r="E45" i="1"/>
  <c r="N47" i="1"/>
  <c r="E47" i="1"/>
  <c r="N86" i="1"/>
  <c r="E85" i="1"/>
  <c r="E106" i="1"/>
  <c r="N106" i="1"/>
  <c r="N105" i="1"/>
  <c r="E104" i="1"/>
  <c r="N104" i="1"/>
  <c r="E126" i="1"/>
  <c r="N145" i="1"/>
  <c r="E144" i="1"/>
  <c r="E125" i="1"/>
  <c r="E163" i="1"/>
  <c r="P126" i="1" l="1"/>
  <c r="O126" i="1"/>
  <c r="F23" i="6"/>
  <c r="G23" i="6"/>
  <c r="F27" i="2"/>
  <c r="F35" i="2" s="1"/>
  <c r="D37" i="2"/>
  <c r="D28" i="7" s="1"/>
  <c r="D52" i="2"/>
  <c r="D30" i="7" s="1"/>
  <c r="E54" i="6"/>
  <c r="D55" i="6"/>
  <c r="D60" i="6" s="1"/>
  <c r="N85" i="1"/>
  <c r="M144" i="1"/>
  <c r="E46" i="1"/>
  <c r="D105" i="1"/>
  <c r="M68" i="1"/>
  <c r="M127" i="1" s="1"/>
  <c r="N127" i="1" s="1"/>
  <c r="N9" i="1"/>
  <c r="D9" i="1"/>
  <c r="M10" i="1"/>
  <c r="C151" i="4"/>
  <c r="C156" i="4" s="1"/>
  <c r="C177" i="4"/>
  <c r="D150" i="4"/>
  <c r="E28" i="1"/>
  <c r="F28" i="1" s="1"/>
  <c r="G28" i="1" s="1"/>
  <c r="D87" i="1"/>
  <c r="D146" i="1" s="1"/>
  <c r="E48" i="1"/>
  <c r="F48" i="1" s="1"/>
  <c r="G48" i="1" s="1"/>
  <c r="D107" i="1"/>
  <c r="D166" i="1" s="1"/>
  <c r="C103" i="6"/>
  <c r="C150" i="6"/>
  <c r="C151" i="6" s="1"/>
  <c r="F9" i="2"/>
  <c r="F17" i="2" s="1"/>
  <c r="N66" i="1"/>
  <c r="E27" i="1"/>
  <c r="D86" i="1"/>
  <c r="E29" i="1"/>
  <c r="F29" i="1" s="1"/>
  <c r="G29" i="1" s="1"/>
  <c r="D88" i="1"/>
  <c r="D147" i="1" s="1"/>
  <c r="C103" i="5"/>
  <c r="C150" i="5"/>
  <c r="C151" i="5" s="1"/>
  <c r="M49" i="1"/>
  <c r="M107" i="1"/>
  <c r="M166" i="1" s="1"/>
  <c r="M30" i="1"/>
  <c r="M88" i="1"/>
  <c r="M147" i="1" s="1"/>
  <c r="E52" i="2"/>
  <c r="E30" i="7" s="1"/>
  <c r="E13" i="2"/>
  <c r="F5" i="2"/>
  <c r="F13" i="2" s="1"/>
  <c r="E36" i="2"/>
  <c r="F28" i="2"/>
  <c r="F36" i="2" s="1"/>
  <c r="E34" i="2"/>
  <c r="F26" i="2"/>
  <c r="F34" i="2" s="1"/>
  <c r="E32" i="2"/>
  <c r="E37" i="2" s="1"/>
  <c r="E28" i="7" s="1"/>
  <c r="F24" i="2"/>
  <c r="F32" i="2" s="1"/>
  <c r="F37" i="2" s="1"/>
  <c r="F28" i="7" s="1"/>
  <c r="E14" i="2"/>
  <c r="F6" i="2"/>
  <c r="F14" i="2" s="1"/>
  <c r="E16" i="2"/>
  <c r="F8" i="2"/>
  <c r="F16" i="2" s="1"/>
  <c r="D13" i="6"/>
  <c r="D31" i="6"/>
  <c r="D32" i="6" s="1"/>
  <c r="D30" i="6"/>
  <c r="C79" i="6"/>
  <c r="C78" i="6"/>
  <c r="C61" i="6"/>
  <c r="D79" i="6"/>
  <c r="D80" i="6" s="1"/>
  <c r="D78" i="6"/>
  <c r="D61" i="6"/>
  <c r="E31" i="6"/>
  <c r="E32" i="6" s="1"/>
  <c r="E30" i="6"/>
  <c r="E13" i="6"/>
  <c r="C28" i="6"/>
  <c r="C27" i="6"/>
  <c r="C26" i="6"/>
  <c r="L23" i="6"/>
  <c r="H23" i="6"/>
  <c r="D23" i="6"/>
  <c r="C21" i="6"/>
  <c r="C20" i="6"/>
  <c r="C18" i="6"/>
  <c r="C17" i="6"/>
  <c r="C15" i="6" s="1"/>
  <c r="C129" i="6"/>
  <c r="C108" i="6"/>
  <c r="D102" i="6"/>
  <c r="D103" i="6" s="1"/>
  <c r="J23" i="6"/>
  <c r="F7" i="6"/>
  <c r="F12" i="6" s="1"/>
  <c r="F33" i="6"/>
  <c r="G6" i="6"/>
  <c r="E23" i="6"/>
  <c r="I23" i="6"/>
  <c r="M23" i="6"/>
  <c r="C79" i="5"/>
  <c r="C78" i="5"/>
  <c r="C61" i="5"/>
  <c r="D81" i="5"/>
  <c r="D60" i="5"/>
  <c r="E54" i="5"/>
  <c r="E55" i="5" s="1"/>
  <c r="D31" i="5"/>
  <c r="D32" i="5" s="1"/>
  <c r="D30" i="5"/>
  <c r="D13" i="5"/>
  <c r="C28" i="5"/>
  <c r="C27" i="5"/>
  <c r="C26" i="5"/>
  <c r="C21" i="5"/>
  <c r="C20" i="5"/>
  <c r="C18" i="5"/>
  <c r="C17" i="5"/>
  <c r="C15" i="5" s="1"/>
  <c r="J23" i="5"/>
  <c r="E33" i="5"/>
  <c r="E7" i="5"/>
  <c r="E12" i="5" s="1"/>
  <c r="F6" i="5"/>
  <c r="C129" i="5"/>
  <c r="C108" i="5"/>
  <c r="D102" i="5"/>
  <c r="D103" i="5" s="1"/>
  <c r="L23" i="5"/>
  <c r="D23" i="5"/>
  <c r="E23" i="5"/>
  <c r="I23" i="5"/>
  <c r="M23" i="5"/>
  <c r="C127" i="4"/>
  <c r="C128" i="4" s="1"/>
  <c r="C126" i="4"/>
  <c r="C109" i="4"/>
  <c r="C79" i="4"/>
  <c r="C80" i="4" s="1"/>
  <c r="C78" i="4"/>
  <c r="C61" i="4"/>
  <c r="C175" i="4"/>
  <c r="C176" i="4" s="1"/>
  <c r="C174" i="4"/>
  <c r="C157" i="4"/>
  <c r="F54" i="4"/>
  <c r="F55" i="4" s="1"/>
  <c r="E81" i="4"/>
  <c r="E60" i="4"/>
  <c r="D33" i="4"/>
  <c r="D7" i="4"/>
  <c r="D12" i="4" s="1"/>
  <c r="E6" i="4"/>
  <c r="D79" i="4"/>
  <c r="D78" i="4"/>
  <c r="D61" i="4"/>
  <c r="C31" i="4"/>
  <c r="C32" i="4" s="1"/>
  <c r="C30" i="4"/>
  <c r="C13" i="4"/>
  <c r="D129" i="4"/>
  <c r="D108" i="4"/>
  <c r="E102" i="4"/>
  <c r="E103" i="4" s="1"/>
  <c r="F44" i="3"/>
  <c r="F42" i="3"/>
  <c r="F40" i="3"/>
  <c r="F38" i="3"/>
  <c r="F36" i="3"/>
  <c r="F34" i="3"/>
  <c r="F32" i="3"/>
  <c r="F30" i="3"/>
  <c r="F28" i="3"/>
  <c r="F26" i="3"/>
  <c r="F24" i="3"/>
  <c r="F22" i="3"/>
  <c r="F20" i="3"/>
  <c r="F18" i="3"/>
  <c r="F41" i="3"/>
  <c r="F37" i="3"/>
  <c r="F33" i="3"/>
  <c r="F29" i="3"/>
  <c r="F25" i="3"/>
  <c r="F21" i="3"/>
  <c r="F17" i="3"/>
  <c r="F15" i="3"/>
  <c r="F13" i="3"/>
  <c r="F12" i="3"/>
  <c r="F11" i="3"/>
  <c r="F10" i="3"/>
  <c r="F9" i="3"/>
  <c r="F43" i="3"/>
  <c r="F39" i="3"/>
  <c r="F35" i="3"/>
  <c r="F31" i="3"/>
  <c r="F27" i="3"/>
  <c r="F23" i="3"/>
  <c r="F19" i="3"/>
  <c r="F16" i="3"/>
  <c r="F14" i="3"/>
  <c r="P48" i="1"/>
  <c r="Q48" i="1" s="1"/>
  <c r="R48" i="1" s="1"/>
  <c r="O46" i="1"/>
  <c r="Q46" i="1" s="1"/>
  <c r="R46" i="1" s="1"/>
  <c r="Q45" i="1"/>
  <c r="S46" i="1" s="1"/>
  <c r="Q26" i="1"/>
  <c r="R26" i="1" s="1"/>
  <c r="R45" i="1"/>
  <c r="I30" i="1"/>
  <c r="H29" i="1"/>
  <c r="S8" i="1"/>
  <c r="R7" i="1"/>
  <c r="S47" i="1"/>
  <c r="S27" i="1"/>
  <c r="N165" i="1"/>
  <c r="E165" i="1"/>
  <c r="F163" i="1"/>
  <c r="G163" i="1" s="1"/>
  <c r="P164" i="1"/>
  <c r="O164" i="1"/>
  <c r="F125" i="1"/>
  <c r="AE31" i="1"/>
  <c r="F144" i="1"/>
  <c r="G144" i="1" s="1"/>
  <c r="P145" i="1"/>
  <c r="AJ33" i="1" s="1"/>
  <c r="O145" i="1"/>
  <c r="Q145" i="1"/>
  <c r="O127" i="1"/>
  <c r="P127" i="1"/>
  <c r="F126" i="1"/>
  <c r="P104" i="1"/>
  <c r="O104" i="1"/>
  <c r="O105" i="1"/>
  <c r="P105" i="1"/>
  <c r="Q105" i="1" s="1"/>
  <c r="N107" i="1"/>
  <c r="E107" i="1"/>
  <c r="F46" i="1"/>
  <c r="G46" i="1" s="1"/>
  <c r="N87" i="1"/>
  <c r="E87" i="1"/>
  <c r="P86" i="1"/>
  <c r="O86" i="1"/>
  <c r="Q86" i="1" s="1"/>
  <c r="F47" i="1"/>
  <c r="G47" i="1" s="1"/>
  <c r="O66" i="1"/>
  <c r="P66" i="1"/>
  <c r="F67" i="1"/>
  <c r="F27" i="1"/>
  <c r="G27" i="1" s="1"/>
  <c r="W37" i="1"/>
  <c r="AD37" i="1" s="1"/>
  <c r="AD25" i="1"/>
  <c r="W44" i="1"/>
  <c r="AD44" i="1" s="1"/>
  <c r="AD32" i="1"/>
  <c r="O29" i="1"/>
  <c r="P29" i="1"/>
  <c r="O27" i="1"/>
  <c r="P27" i="1"/>
  <c r="W33" i="1"/>
  <c r="AD33" i="1" s="1"/>
  <c r="AD21" i="1"/>
  <c r="W43" i="1"/>
  <c r="AD43" i="1" s="1"/>
  <c r="AD31" i="1"/>
  <c r="N146" i="1"/>
  <c r="E146" i="1"/>
  <c r="F104" i="1"/>
  <c r="G104" i="1" s="1"/>
  <c r="O106" i="1"/>
  <c r="P106" i="1"/>
  <c r="F106" i="1"/>
  <c r="G106" i="1" s="1"/>
  <c r="Q126" i="1"/>
  <c r="F85" i="1"/>
  <c r="G85" i="1" s="1"/>
  <c r="P47" i="1"/>
  <c r="O47" i="1"/>
  <c r="F45" i="1"/>
  <c r="G45" i="1" s="1"/>
  <c r="F66" i="1"/>
  <c r="G66" i="1" s="1"/>
  <c r="AE19" i="1"/>
  <c r="N67" i="1"/>
  <c r="I49" i="1"/>
  <c r="H48" i="1"/>
  <c r="W41" i="1"/>
  <c r="AD41" i="1" s="1"/>
  <c r="AD29" i="1"/>
  <c r="F26" i="1"/>
  <c r="G26" i="1" s="1"/>
  <c r="AE7" i="1"/>
  <c r="F7" i="1"/>
  <c r="G7" i="1" s="1"/>
  <c r="O28" i="1"/>
  <c r="P28" i="1"/>
  <c r="I29" i="1"/>
  <c r="H28" i="1"/>
  <c r="F8" i="1"/>
  <c r="AE8" i="1"/>
  <c r="G8" i="1"/>
  <c r="AJ9" i="1"/>
  <c r="Q8" i="1"/>
  <c r="Y7" i="1"/>
  <c r="AJ8" i="1"/>
  <c r="D151" i="4" l="1"/>
  <c r="D156" i="4" s="1"/>
  <c r="E150" i="4"/>
  <c r="D177" i="4"/>
  <c r="D68" i="1"/>
  <c r="E9" i="1"/>
  <c r="E55" i="6"/>
  <c r="E60" i="6" s="1"/>
  <c r="E81" i="6"/>
  <c r="F54" i="6"/>
  <c r="Q104" i="1"/>
  <c r="M50" i="1"/>
  <c r="M108" i="1"/>
  <c r="M167" i="1" s="1"/>
  <c r="N49" i="1"/>
  <c r="D49" i="1"/>
  <c r="P9" i="1"/>
  <c r="O9" i="1"/>
  <c r="Q9" i="1" s="1"/>
  <c r="D145" i="1"/>
  <c r="E145" i="1" s="1"/>
  <c r="E86" i="1"/>
  <c r="O85" i="1"/>
  <c r="Q85" i="1" s="1"/>
  <c r="S86" i="1" s="1"/>
  <c r="P85" i="1"/>
  <c r="AJ20" i="1" s="1"/>
  <c r="M31" i="1"/>
  <c r="M89" i="1"/>
  <c r="M148" i="1" s="1"/>
  <c r="D30" i="1"/>
  <c r="N30" i="1"/>
  <c r="M11" i="1"/>
  <c r="D10" i="1"/>
  <c r="M69" i="1"/>
  <c r="M128" i="1" s="1"/>
  <c r="N128" i="1" s="1"/>
  <c r="N10" i="1"/>
  <c r="D164" i="1"/>
  <c r="E164" i="1" s="1"/>
  <c r="F164" i="1" s="1"/>
  <c r="G164" i="1" s="1"/>
  <c r="E105" i="1"/>
  <c r="F105" i="1" s="1"/>
  <c r="G105" i="1" s="1"/>
  <c r="D80" i="4"/>
  <c r="C80" i="6"/>
  <c r="C80" i="5"/>
  <c r="F18" i="2"/>
  <c r="F27" i="7" s="1"/>
  <c r="E18" i="2"/>
  <c r="E27" i="7" s="1"/>
  <c r="F31" i="6"/>
  <c r="F32" i="6" s="1"/>
  <c r="F30" i="6"/>
  <c r="F13" i="6"/>
  <c r="G33" i="6"/>
  <c r="H6" i="6"/>
  <c r="G7" i="6"/>
  <c r="G12" i="6" s="1"/>
  <c r="C127" i="6"/>
  <c r="C128" i="6" s="1"/>
  <c r="C126" i="6"/>
  <c r="C109" i="6"/>
  <c r="C177" i="6"/>
  <c r="C156" i="6"/>
  <c r="D150" i="6"/>
  <c r="D151" i="6" s="1"/>
  <c r="C76" i="6"/>
  <c r="C75" i="6"/>
  <c r="C74" i="6"/>
  <c r="C69" i="6"/>
  <c r="C68" i="6"/>
  <c r="C66" i="6"/>
  <c r="C65" i="6"/>
  <c r="C63" i="6" s="1"/>
  <c r="N71" i="6"/>
  <c r="J71" i="6"/>
  <c r="F71" i="6"/>
  <c r="L71" i="6"/>
  <c r="H71" i="6"/>
  <c r="D71" i="6"/>
  <c r="M71" i="6"/>
  <c r="C71" i="6"/>
  <c r="G71" i="6"/>
  <c r="K71" i="6"/>
  <c r="E71" i="6"/>
  <c r="I71" i="6"/>
  <c r="D21" i="6"/>
  <c r="D20" i="6"/>
  <c r="D18" i="6"/>
  <c r="D17" i="6"/>
  <c r="D15" i="6" s="1"/>
  <c r="D28" i="6"/>
  <c r="D27" i="6"/>
  <c r="D26" i="6"/>
  <c r="D129" i="6"/>
  <c r="E102" i="6"/>
  <c r="E103" i="6" s="1"/>
  <c r="D108" i="6"/>
  <c r="C47" i="6"/>
  <c r="C35" i="6"/>
  <c r="E28" i="6"/>
  <c r="E27" i="6"/>
  <c r="E26" i="6"/>
  <c r="E21" i="6"/>
  <c r="E20" i="6"/>
  <c r="E18" i="6"/>
  <c r="E17" i="6"/>
  <c r="E15" i="6" s="1"/>
  <c r="D76" i="6"/>
  <c r="D75" i="6"/>
  <c r="D74" i="6"/>
  <c r="D69" i="6"/>
  <c r="D68" i="6"/>
  <c r="D66" i="6"/>
  <c r="D65" i="6"/>
  <c r="E31" i="5"/>
  <c r="E32" i="5" s="1"/>
  <c r="E30" i="5"/>
  <c r="E13" i="5"/>
  <c r="C127" i="5"/>
  <c r="C128" i="5" s="1"/>
  <c r="C126" i="5"/>
  <c r="C109" i="5"/>
  <c r="C47" i="5"/>
  <c r="C35" i="5"/>
  <c r="D79" i="5"/>
  <c r="D80" i="5" s="1"/>
  <c r="D78" i="5"/>
  <c r="D61" i="5"/>
  <c r="C76" i="5"/>
  <c r="C75" i="5"/>
  <c r="C74" i="5"/>
  <c r="C69" i="5"/>
  <c r="C68" i="5"/>
  <c r="C66" i="5"/>
  <c r="C65" i="5"/>
  <c r="L71" i="5"/>
  <c r="H71" i="5"/>
  <c r="D71" i="5"/>
  <c r="C71" i="5"/>
  <c r="K71" i="5"/>
  <c r="E71" i="5"/>
  <c r="M71" i="5"/>
  <c r="N71" i="5"/>
  <c r="J71" i="5"/>
  <c r="F71" i="5"/>
  <c r="G71" i="5"/>
  <c r="I71" i="5"/>
  <c r="E102" i="5"/>
  <c r="E103" i="5" s="1"/>
  <c r="D108" i="5"/>
  <c r="D129" i="5"/>
  <c r="C177" i="5"/>
  <c r="D150" i="5"/>
  <c r="D151" i="5" s="1"/>
  <c r="C156" i="5"/>
  <c r="G6" i="5"/>
  <c r="F33" i="5"/>
  <c r="F7" i="5"/>
  <c r="F12" i="5" s="1"/>
  <c r="D28" i="5"/>
  <c r="D27" i="5"/>
  <c r="D26" i="5"/>
  <c r="D21" i="5"/>
  <c r="D20" i="5"/>
  <c r="D18" i="5"/>
  <c r="D17" i="5"/>
  <c r="D15" i="5" s="1"/>
  <c r="F54" i="5"/>
  <c r="F55" i="5" s="1"/>
  <c r="E81" i="5"/>
  <c r="E60" i="5"/>
  <c r="F102" i="4"/>
  <c r="F103" i="4" s="1"/>
  <c r="E129" i="4"/>
  <c r="E108" i="4"/>
  <c r="D175" i="4"/>
  <c r="D176" i="4" s="1"/>
  <c r="D174" i="4"/>
  <c r="D157" i="4"/>
  <c r="C28" i="4"/>
  <c r="C27" i="4"/>
  <c r="C26" i="4"/>
  <c r="C21" i="4"/>
  <c r="C20" i="4"/>
  <c r="C18" i="4"/>
  <c r="C17" i="4"/>
  <c r="C15" i="4" s="1"/>
  <c r="M23" i="4"/>
  <c r="I23" i="4"/>
  <c r="E23" i="4"/>
  <c r="F23" i="4"/>
  <c r="N23" i="4"/>
  <c r="D23" i="4"/>
  <c r="L23" i="4"/>
  <c r="K23" i="4"/>
  <c r="G23" i="4"/>
  <c r="C23" i="4"/>
  <c r="J23" i="4"/>
  <c r="H23" i="4"/>
  <c r="D76" i="4"/>
  <c r="D75" i="4"/>
  <c r="D74" i="4"/>
  <c r="D69" i="4"/>
  <c r="D68" i="4"/>
  <c r="D66" i="4"/>
  <c r="D65" i="4"/>
  <c r="D63" i="4" s="1"/>
  <c r="E33" i="4"/>
  <c r="F6" i="4"/>
  <c r="E7" i="4"/>
  <c r="E12" i="4" s="1"/>
  <c r="D31" i="4"/>
  <c r="D32" i="4" s="1"/>
  <c r="D30" i="4"/>
  <c r="D13" i="4"/>
  <c r="E79" i="4"/>
  <c r="E80" i="4" s="1"/>
  <c r="E78" i="4"/>
  <c r="E61" i="4"/>
  <c r="F81" i="4"/>
  <c r="F60" i="4"/>
  <c r="G54" i="4"/>
  <c r="G55" i="4" s="1"/>
  <c r="C172" i="4"/>
  <c r="C171" i="4"/>
  <c r="C170" i="4"/>
  <c r="C165" i="4"/>
  <c r="C164" i="4"/>
  <c r="C162" i="4"/>
  <c r="C161" i="4"/>
  <c r="C159" i="4" s="1"/>
  <c r="M167" i="4"/>
  <c r="E167" i="4"/>
  <c r="I167" i="4"/>
  <c r="L167" i="4"/>
  <c r="H167" i="4"/>
  <c r="D167" i="4"/>
  <c r="C167" i="4"/>
  <c r="K167" i="4"/>
  <c r="N167" i="4"/>
  <c r="J167" i="4"/>
  <c r="F167" i="4"/>
  <c r="G167" i="4"/>
  <c r="C76" i="4"/>
  <c r="C75" i="4"/>
  <c r="C74" i="4"/>
  <c r="C69" i="4"/>
  <c r="C68" i="4"/>
  <c r="C66" i="4"/>
  <c r="C65" i="4"/>
  <c r="C63" i="4" s="1"/>
  <c r="L71" i="4"/>
  <c r="H71" i="4"/>
  <c r="D71" i="4"/>
  <c r="G71" i="4"/>
  <c r="E71" i="4"/>
  <c r="M71" i="4"/>
  <c r="N71" i="4"/>
  <c r="J71" i="4"/>
  <c r="F71" i="4"/>
  <c r="C71" i="4"/>
  <c r="K71" i="4"/>
  <c r="I71" i="4"/>
  <c r="C124" i="4"/>
  <c r="C123" i="4"/>
  <c r="C122" i="4"/>
  <c r="C117" i="4"/>
  <c r="C116" i="4"/>
  <c r="C114" i="4"/>
  <c r="C113" i="4"/>
  <c r="C111" i="4" s="1"/>
  <c r="M119" i="4"/>
  <c r="E119" i="4"/>
  <c r="L119" i="4"/>
  <c r="H119" i="4"/>
  <c r="D119" i="4"/>
  <c r="G119" i="4"/>
  <c r="N119" i="4"/>
  <c r="J119" i="4"/>
  <c r="F119" i="4"/>
  <c r="K119" i="4"/>
  <c r="C119" i="4"/>
  <c r="I119" i="4"/>
  <c r="D127" i="4"/>
  <c r="D128" i="4" s="1"/>
  <c r="D126" i="4"/>
  <c r="D109" i="4"/>
  <c r="H4" i="3"/>
  <c r="H3" i="3"/>
  <c r="G9" i="3"/>
  <c r="H5" i="3"/>
  <c r="Q164" i="1"/>
  <c r="Q106" i="1"/>
  <c r="R106" i="1" s="1"/>
  <c r="R85" i="1"/>
  <c r="Y32" i="1"/>
  <c r="X19" i="1"/>
  <c r="AF19" i="1" s="1"/>
  <c r="Y19" i="1"/>
  <c r="Y8" i="1"/>
  <c r="S49" i="1"/>
  <c r="AJ10" i="1"/>
  <c r="Q47" i="1"/>
  <c r="R47" i="1" s="1"/>
  <c r="Q29" i="1"/>
  <c r="R29" i="1" s="1"/>
  <c r="X8" i="1"/>
  <c r="Q27" i="1"/>
  <c r="S28" i="1" s="1"/>
  <c r="I27" i="1"/>
  <c r="H26" i="1"/>
  <c r="H45" i="1"/>
  <c r="I46" i="1"/>
  <c r="S107" i="1"/>
  <c r="I165" i="1"/>
  <c r="H164" i="1"/>
  <c r="S30" i="1"/>
  <c r="I107" i="1"/>
  <c r="H106" i="1"/>
  <c r="R27" i="1"/>
  <c r="H47" i="1"/>
  <c r="I48" i="1"/>
  <c r="R105" i="1"/>
  <c r="S106" i="1"/>
  <c r="H144" i="1"/>
  <c r="I145" i="1"/>
  <c r="R9" i="1"/>
  <c r="S10" i="1"/>
  <c r="S9" i="1"/>
  <c r="R8" i="1"/>
  <c r="H8" i="1"/>
  <c r="I9" i="1"/>
  <c r="Q28" i="1"/>
  <c r="I8" i="1"/>
  <c r="AH8" i="1" s="1"/>
  <c r="H7" i="1"/>
  <c r="N68" i="1"/>
  <c r="H66" i="1"/>
  <c r="I67" i="1"/>
  <c r="H85" i="1"/>
  <c r="I86" i="1"/>
  <c r="R126" i="1"/>
  <c r="S127" i="1"/>
  <c r="I105" i="1"/>
  <c r="H104" i="1"/>
  <c r="P146" i="1"/>
  <c r="O146" i="1"/>
  <c r="Y9" i="1"/>
  <c r="X7" i="1"/>
  <c r="P67" i="1"/>
  <c r="AJ21" i="1" s="1"/>
  <c r="O67" i="1"/>
  <c r="Y20" i="1" s="1"/>
  <c r="P128" i="1"/>
  <c r="O128" i="1"/>
  <c r="F146" i="1"/>
  <c r="G146" i="1" s="1"/>
  <c r="E147" i="1"/>
  <c r="N147" i="1"/>
  <c r="I28" i="1"/>
  <c r="H27" i="1"/>
  <c r="Q66" i="1"/>
  <c r="S87" i="1"/>
  <c r="R86" i="1"/>
  <c r="P87" i="1"/>
  <c r="O87" i="1"/>
  <c r="H105" i="1"/>
  <c r="I106" i="1"/>
  <c r="I47" i="1"/>
  <c r="H46" i="1"/>
  <c r="P107" i="1"/>
  <c r="O107" i="1"/>
  <c r="S105" i="1"/>
  <c r="R104" i="1"/>
  <c r="S146" i="1"/>
  <c r="R145" i="1"/>
  <c r="X31" i="1"/>
  <c r="S165" i="1"/>
  <c r="R164" i="1"/>
  <c r="I164" i="1"/>
  <c r="H163" i="1"/>
  <c r="P165" i="1"/>
  <c r="O165" i="1"/>
  <c r="Q165" i="1" s="1"/>
  <c r="AK7" i="1"/>
  <c r="G67" i="1"/>
  <c r="F87" i="1"/>
  <c r="G87" i="1" s="1"/>
  <c r="E88" i="1"/>
  <c r="N88" i="1"/>
  <c r="F107" i="1"/>
  <c r="G107" i="1" s="1"/>
  <c r="N108" i="1"/>
  <c r="G126" i="1"/>
  <c r="I127" i="1" s="1"/>
  <c r="Q127" i="1"/>
  <c r="G125" i="1"/>
  <c r="I126" i="1" s="1"/>
  <c r="F165" i="1"/>
  <c r="G165" i="1" s="1"/>
  <c r="E166" i="1"/>
  <c r="N166" i="1"/>
  <c r="AL8" i="1"/>
  <c r="E78" i="6" l="1"/>
  <c r="E61" i="6"/>
  <c r="E79" i="6"/>
  <c r="E80" i="6" s="1"/>
  <c r="D63" i="6"/>
  <c r="D69" i="1"/>
  <c r="E10" i="1"/>
  <c r="P49" i="1"/>
  <c r="O49" i="1"/>
  <c r="E151" i="4"/>
  <c r="E156" i="4" s="1"/>
  <c r="F150" i="4"/>
  <c r="E177" i="4"/>
  <c r="M70" i="1"/>
  <c r="M129" i="1" s="1"/>
  <c r="N129" i="1" s="1"/>
  <c r="D11" i="1"/>
  <c r="M12" i="1"/>
  <c r="N11" i="1"/>
  <c r="M32" i="1"/>
  <c r="M90" i="1"/>
  <c r="M149" i="1" s="1"/>
  <c r="N31" i="1"/>
  <c r="D31" i="1"/>
  <c r="AE20" i="1"/>
  <c r="F86" i="1"/>
  <c r="F55" i="6"/>
  <c r="G54" i="6"/>
  <c r="F81" i="6"/>
  <c r="F60" i="6"/>
  <c r="F9" i="1"/>
  <c r="AE9" i="1"/>
  <c r="P10" i="1"/>
  <c r="AJ11" i="1" s="1"/>
  <c r="O10" i="1"/>
  <c r="Y10" i="1" s="1"/>
  <c r="O30" i="1"/>
  <c r="P30" i="1"/>
  <c r="AE32" i="1"/>
  <c r="F145" i="1"/>
  <c r="X32" i="1" s="1"/>
  <c r="D50" i="1"/>
  <c r="M109" i="1"/>
  <c r="M168" i="1" s="1"/>
  <c r="M51" i="1"/>
  <c r="N50" i="1"/>
  <c r="D127" i="1"/>
  <c r="E127" i="1" s="1"/>
  <c r="E68" i="1"/>
  <c r="C63" i="5"/>
  <c r="E30" i="1"/>
  <c r="F30" i="1" s="1"/>
  <c r="G30" i="1" s="1"/>
  <c r="D89" i="1"/>
  <c r="D148" i="1" s="1"/>
  <c r="D108" i="1"/>
  <c r="E49" i="1"/>
  <c r="F49" i="1" s="1"/>
  <c r="G49" i="1" s="1"/>
  <c r="D95" i="4"/>
  <c r="D95" i="6"/>
  <c r="G31" i="6"/>
  <c r="G32" i="6" s="1"/>
  <c r="G30" i="6"/>
  <c r="G13" i="6"/>
  <c r="D83" i="6"/>
  <c r="D84" i="6" s="1"/>
  <c r="C36" i="6"/>
  <c r="C39" i="6"/>
  <c r="D127" i="6"/>
  <c r="D128" i="6" s="1"/>
  <c r="D126" i="6"/>
  <c r="D109" i="6"/>
  <c r="D177" i="6"/>
  <c r="E150" i="6"/>
  <c r="E151" i="6" s="1"/>
  <c r="D156" i="6"/>
  <c r="C175" i="6"/>
  <c r="C176" i="6" s="1"/>
  <c r="C174" i="6"/>
  <c r="C157" i="6"/>
  <c r="C124" i="6"/>
  <c r="C123" i="6"/>
  <c r="C122" i="6"/>
  <c r="C117" i="6"/>
  <c r="C116" i="6"/>
  <c r="C114" i="6"/>
  <c r="C113" i="6"/>
  <c r="N119" i="6"/>
  <c r="F119" i="6"/>
  <c r="J119" i="6"/>
  <c r="M119" i="6"/>
  <c r="I119" i="6"/>
  <c r="E119" i="6"/>
  <c r="H119" i="6"/>
  <c r="K119" i="6"/>
  <c r="G119" i="6"/>
  <c r="C119" i="6"/>
  <c r="D119" i="6"/>
  <c r="L119" i="6"/>
  <c r="H33" i="6"/>
  <c r="H7" i="6"/>
  <c r="H12" i="6" s="1"/>
  <c r="I6" i="6"/>
  <c r="F28" i="6"/>
  <c r="F27" i="6"/>
  <c r="F26" i="6"/>
  <c r="F21" i="6"/>
  <c r="F20" i="6"/>
  <c r="F18" i="6"/>
  <c r="F17" i="6"/>
  <c r="E47" i="6"/>
  <c r="E35" i="6"/>
  <c r="E36" i="6" s="1"/>
  <c r="E129" i="6"/>
  <c r="E108" i="6"/>
  <c r="F102" i="6"/>
  <c r="F103" i="6" s="1"/>
  <c r="D35" i="6"/>
  <c r="D36" i="6" s="1"/>
  <c r="D47" i="6"/>
  <c r="C95" i="6"/>
  <c r="C83" i="6"/>
  <c r="E79" i="5"/>
  <c r="E78" i="5"/>
  <c r="E61" i="5"/>
  <c r="C175" i="5"/>
  <c r="C176" i="5" s="1"/>
  <c r="C174" i="5"/>
  <c r="C157" i="5"/>
  <c r="F31" i="5"/>
  <c r="F32" i="5" s="1"/>
  <c r="F30" i="5"/>
  <c r="F13" i="5"/>
  <c r="D177" i="5"/>
  <c r="D156" i="5"/>
  <c r="E150" i="5"/>
  <c r="E151" i="5" s="1"/>
  <c r="E129" i="5"/>
  <c r="E108" i="5"/>
  <c r="F102" i="5"/>
  <c r="F103" i="5" s="1"/>
  <c r="D76" i="5"/>
  <c r="D75" i="5"/>
  <c r="D74" i="5"/>
  <c r="D69" i="5"/>
  <c r="D68" i="5"/>
  <c r="D66" i="5"/>
  <c r="D65" i="5"/>
  <c r="C36" i="5"/>
  <c r="C39" i="5"/>
  <c r="C124" i="5"/>
  <c r="C123" i="5"/>
  <c r="C122" i="5"/>
  <c r="C117" i="5"/>
  <c r="C116" i="5"/>
  <c r="C114" i="5"/>
  <c r="C113" i="5"/>
  <c r="C111" i="5" s="1"/>
  <c r="L119" i="5"/>
  <c r="D119" i="5"/>
  <c r="H119" i="5"/>
  <c r="K119" i="5"/>
  <c r="G119" i="5"/>
  <c r="C119" i="5"/>
  <c r="J119" i="5"/>
  <c r="M119" i="5"/>
  <c r="I119" i="5"/>
  <c r="E119" i="5"/>
  <c r="F119" i="5"/>
  <c r="N119" i="5"/>
  <c r="E28" i="5"/>
  <c r="E27" i="5"/>
  <c r="E26" i="5"/>
  <c r="E21" i="5"/>
  <c r="E20" i="5"/>
  <c r="E18" i="5"/>
  <c r="E17" i="5"/>
  <c r="F81" i="5"/>
  <c r="F60" i="5"/>
  <c r="G54" i="5"/>
  <c r="G55" i="5" s="1"/>
  <c r="D35" i="5"/>
  <c r="D36" i="5" s="1"/>
  <c r="D47" i="5"/>
  <c r="G33" i="5"/>
  <c r="G7" i="5"/>
  <c r="G12" i="5" s="1"/>
  <c r="H6" i="5"/>
  <c r="D126" i="5"/>
  <c r="D109" i="5"/>
  <c r="D127" i="5"/>
  <c r="D128" i="5" s="1"/>
  <c r="C95" i="5"/>
  <c r="C83" i="5"/>
  <c r="E31" i="4"/>
  <c r="E32" i="4" s="1"/>
  <c r="E30" i="4"/>
  <c r="E13" i="4"/>
  <c r="F79" i="4"/>
  <c r="F80" i="4" s="1"/>
  <c r="F78" i="4"/>
  <c r="F61" i="4"/>
  <c r="C95" i="4"/>
  <c r="C83" i="4"/>
  <c r="E76" i="4"/>
  <c r="E75" i="4"/>
  <c r="E74" i="4"/>
  <c r="E69" i="4"/>
  <c r="E68" i="4"/>
  <c r="E66" i="4"/>
  <c r="E65" i="4"/>
  <c r="D28" i="4"/>
  <c r="D27" i="4"/>
  <c r="D26" i="4"/>
  <c r="D21" i="4"/>
  <c r="D20" i="4"/>
  <c r="D18" i="4"/>
  <c r="D17" i="4"/>
  <c r="F7" i="4"/>
  <c r="F12" i="4" s="1"/>
  <c r="F33" i="4"/>
  <c r="G6" i="4"/>
  <c r="D83" i="4"/>
  <c r="D84" i="4" s="1"/>
  <c r="D172" i="4"/>
  <c r="D171" i="4"/>
  <c r="D170" i="4"/>
  <c r="D165" i="4"/>
  <c r="D164" i="4"/>
  <c r="D162" i="4"/>
  <c r="D161" i="4"/>
  <c r="D159" i="4" s="1"/>
  <c r="E127" i="4"/>
  <c r="E128" i="4" s="1"/>
  <c r="E126" i="4"/>
  <c r="E109" i="4"/>
  <c r="F129" i="4"/>
  <c r="F108" i="4"/>
  <c r="G102" i="4"/>
  <c r="G103" i="4" s="1"/>
  <c r="D124" i="4"/>
  <c r="D123" i="4"/>
  <c r="D122" i="4"/>
  <c r="D117" i="4"/>
  <c r="D116" i="4"/>
  <c r="D114" i="4"/>
  <c r="D113" i="4"/>
  <c r="C131" i="4"/>
  <c r="C179" i="4"/>
  <c r="H54" i="4"/>
  <c r="H55" i="4" s="1"/>
  <c r="G81" i="4"/>
  <c r="G60" i="4"/>
  <c r="C47" i="4"/>
  <c r="C35" i="4"/>
  <c r="E157" i="4"/>
  <c r="E174" i="4"/>
  <c r="E175" i="4"/>
  <c r="E176" i="4" s="1"/>
  <c r="H9" i="3"/>
  <c r="D10" i="3" s="1"/>
  <c r="AJ34" i="1"/>
  <c r="Q87" i="1"/>
  <c r="Q146" i="1"/>
  <c r="R146" i="1" s="1"/>
  <c r="Q107" i="1"/>
  <c r="R107" i="1" s="1"/>
  <c r="Z19" i="1"/>
  <c r="Q67" i="1"/>
  <c r="S68" i="1" s="1"/>
  <c r="AL21" i="1" s="1"/>
  <c r="Z8" i="1"/>
  <c r="S48" i="1"/>
  <c r="AF8" i="1"/>
  <c r="AL9" i="1"/>
  <c r="AG7" i="1"/>
  <c r="AG8" i="1"/>
  <c r="R165" i="1"/>
  <c r="S166" i="1"/>
  <c r="H165" i="1"/>
  <c r="I166" i="1"/>
  <c r="H87" i="1"/>
  <c r="I88" i="1"/>
  <c r="O166" i="1"/>
  <c r="P166" i="1"/>
  <c r="S128" i="1"/>
  <c r="R127" i="1"/>
  <c r="N109" i="1"/>
  <c r="H107" i="1"/>
  <c r="I108" i="1"/>
  <c r="F88" i="1"/>
  <c r="G88" i="1" s="1"/>
  <c r="Y33" i="1"/>
  <c r="R87" i="1"/>
  <c r="S88" i="1"/>
  <c r="S67" i="1"/>
  <c r="AL20" i="1" s="1"/>
  <c r="R66" i="1"/>
  <c r="AK19" i="1" s="1"/>
  <c r="N148" i="1"/>
  <c r="E148" i="1"/>
  <c r="H146" i="1"/>
  <c r="I147" i="1"/>
  <c r="AL33" i="1"/>
  <c r="AG19" i="1"/>
  <c r="G166" i="1"/>
  <c r="F166" i="1"/>
  <c r="H126" i="1"/>
  <c r="O88" i="1"/>
  <c r="P88" i="1"/>
  <c r="AA9" i="1"/>
  <c r="AI9" i="1" s="1"/>
  <c r="AF7" i="1"/>
  <c r="P68" i="1"/>
  <c r="AJ22" i="1" s="1"/>
  <c r="O68" i="1"/>
  <c r="Y21" i="1" s="1"/>
  <c r="N167" i="1"/>
  <c r="AH32" i="1"/>
  <c r="H125" i="1"/>
  <c r="AG31" i="1" s="1"/>
  <c r="O108" i="1"/>
  <c r="P108" i="1"/>
  <c r="N89" i="1"/>
  <c r="E89" i="1"/>
  <c r="I68" i="1"/>
  <c r="H67" i="1"/>
  <c r="AF31" i="1"/>
  <c r="Z32" i="1"/>
  <c r="AF32" i="1"/>
  <c r="O147" i="1"/>
  <c r="Y34" i="1" s="1"/>
  <c r="P147" i="1"/>
  <c r="AJ35" i="1" s="1"/>
  <c r="F147" i="1"/>
  <c r="G147" i="1" s="1"/>
  <c r="Q128" i="1"/>
  <c r="O129" i="1"/>
  <c r="P129" i="1"/>
  <c r="AK32" i="1"/>
  <c r="AH20" i="1"/>
  <c r="N69" i="1"/>
  <c r="S29" i="1"/>
  <c r="R28" i="1"/>
  <c r="AK9" i="1" s="1"/>
  <c r="AH9" i="1"/>
  <c r="AK8" i="1"/>
  <c r="D111" i="4" l="1"/>
  <c r="E63" i="4"/>
  <c r="E15" i="5"/>
  <c r="D63" i="5"/>
  <c r="D95" i="5" s="1"/>
  <c r="F15" i="6"/>
  <c r="H30" i="1"/>
  <c r="I31" i="1"/>
  <c r="AE21" i="1"/>
  <c r="F68" i="1"/>
  <c r="X9" i="1"/>
  <c r="G9" i="1"/>
  <c r="P31" i="1"/>
  <c r="O31" i="1"/>
  <c r="Q31" i="1" s="1"/>
  <c r="M71" i="1"/>
  <c r="M130" i="1" s="1"/>
  <c r="N130" i="1" s="1"/>
  <c r="D12" i="1"/>
  <c r="M13" i="1"/>
  <c r="N12" i="1"/>
  <c r="S147" i="1"/>
  <c r="D15" i="4"/>
  <c r="H49" i="1"/>
  <c r="I50" i="1"/>
  <c r="F127" i="1"/>
  <c r="X33" i="1" s="1"/>
  <c r="AF33" i="1" s="1"/>
  <c r="AE33" i="1"/>
  <c r="D109" i="1"/>
  <c r="E50" i="1"/>
  <c r="F50" i="1" s="1"/>
  <c r="G50" i="1" s="1"/>
  <c r="F79" i="6"/>
  <c r="F80" i="6" s="1"/>
  <c r="F78" i="6"/>
  <c r="F61" i="6"/>
  <c r="G86" i="1"/>
  <c r="X20" i="1"/>
  <c r="D70" i="1"/>
  <c r="E11" i="1"/>
  <c r="F151" i="4"/>
  <c r="F156" i="4" s="1"/>
  <c r="F177" i="4"/>
  <c r="G150" i="4"/>
  <c r="AE10" i="1"/>
  <c r="F10" i="1"/>
  <c r="X10" i="1" s="1"/>
  <c r="D167" i="1"/>
  <c r="E167" i="1" s="1"/>
  <c r="E108" i="1"/>
  <c r="F108" i="1" s="1"/>
  <c r="G108" i="1" s="1"/>
  <c r="O50" i="1"/>
  <c r="Q50" i="1" s="1"/>
  <c r="P50" i="1"/>
  <c r="Q30" i="1"/>
  <c r="M33" i="1"/>
  <c r="M91" i="1"/>
  <c r="M150" i="1" s="1"/>
  <c r="D32" i="1"/>
  <c r="N32" i="1"/>
  <c r="D128" i="1"/>
  <c r="E128" i="1" s="1"/>
  <c r="E69" i="1"/>
  <c r="E74" i="6"/>
  <c r="E65" i="6"/>
  <c r="E69" i="6"/>
  <c r="E76" i="6"/>
  <c r="E68" i="6"/>
  <c r="E75" i="6"/>
  <c r="E66" i="6"/>
  <c r="C111" i="6"/>
  <c r="M110" i="1"/>
  <c r="M169" i="1" s="1"/>
  <c r="D51" i="1"/>
  <c r="N51" i="1"/>
  <c r="M52" i="1"/>
  <c r="G145" i="1"/>
  <c r="Q10" i="1"/>
  <c r="G55" i="6"/>
  <c r="G81" i="6"/>
  <c r="G60" i="6"/>
  <c r="H54" i="6"/>
  <c r="D90" i="1"/>
  <c r="D149" i="1" s="1"/>
  <c r="E31" i="1"/>
  <c r="F31" i="1" s="1"/>
  <c r="G31" i="1" s="1"/>
  <c r="P11" i="1"/>
  <c r="AJ12" i="1" s="1"/>
  <c r="O11" i="1"/>
  <c r="Q49" i="1"/>
  <c r="E80" i="5"/>
  <c r="C84" i="6"/>
  <c r="C87" i="6"/>
  <c r="G102" i="6"/>
  <c r="G103" i="6" s="1"/>
  <c r="F108" i="6"/>
  <c r="F129" i="6"/>
  <c r="I33" i="6"/>
  <c r="J6" i="6"/>
  <c r="I7" i="6"/>
  <c r="I12" i="6" s="1"/>
  <c r="H13" i="6"/>
  <c r="H31" i="6"/>
  <c r="H32" i="6" s="1"/>
  <c r="H30" i="6"/>
  <c r="C131" i="6"/>
  <c r="D175" i="6"/>
  <c r="D176" i="6" s="1"/>
  <c r="D174" i="6"/>
  <c r="D157" i="6"/>
  <c r="D124" i="6"/>
  <c r="D123" i="6"/>
  <c r="D122" i="6"/>
  <c r="D117" i="6"/>
  <c r="D116" i="6"/>
  <c r="D114" i="6"/>
  <c r="D113" i="6"/>
  <c r="D111" i="6" s="1"/>
  <c r="G28" i="6"/>
  <c r="G27" i="6"/>
  <c r="G26" i="6"/>
  <c r="G21" i="6"/>
  <c r="G20" i="6"/>
  <c r="G18" i="6"/>
  <c r="G17" i="6"/>
  <c r="E127" i="6"/>
  <c r="E128" i="6" s="1"/>
  <c r="E126" i="6"/>
  <c r="E109" i="6"/>
  <c r="F47" i="6"/>
  <c r="F35" i="6"/>
  <c r="F36" i="6" s="1"/>
  <c r="C172" i="6"/>
  <c r="C171" i="6"/>
  <c r="C170" i="6"/>
  <c r="C165" i="6"/>
  <c r="C164" i="6"/>
  <c r="C162" i="6"/>
  <c r="C161" i="6"/>
  <c r="M167" i="6"/>
  <c r="E167" i="6"/>
  <c r="I167" i="6"/>
  <c r="N167" i="6"/>
  <c r="J167" i="6"/>
  <c r="F167" i="6"/>
  <c r="C167" i="6"/>
  <c r="K167" i="6"/>
  <c r="L167" i="6"/>
  <c r="H167" i="6"/>
  <c r="D167" i="6"/>
  <c r="G167" i="6"/>
  <c r="E156" i="6"/>
  <c r="F150" i="6"/>
  <c r="F151" i="6" s="1"/>
  <c r="E177" i="6"/>
  <c r="D44" i="6"/>
  <c r="D45" i="6" s="1"/>
  <c r="G31" i="5"/>
  <c r="G32" i="5" s="1"/>
  <c r="G30" i="5"/>
  <c r="G13" i="5"/>
  <c r="D123" i="5"/>
  <c r="D116" i="5"/>
  <c r="D114" i="5"/>
  <c r="D113" i="5"/>
  <c r="D124" i="5"/>
  <c r="D122" i="5"/>
  <c r="D117" i="5"/>
  <c r="F79" i="5"/>
  <c r="F80" i="5" s="1"/>
  <c r="F78" i="5"/>
  <c r="F61" i="5"/>
  <c r="E47" i="5"/>
  <c r="E35" i="5"/>
  <c r="E36" i="5" s="1"/>
  <c r="D44" i="5" s="1"/>
  <c r="D45" i="5" s="1"/>
  <c r="D83" i="5"/>
  <c r="D84" i="5" s="1"/>
  <c r="E127" i="5"/>
  <c r="E128" i="5" s="1"/>
  <c r="E126" i="5"/>
  <c r="E109" i="5"/>
  <c r="E177" i="5"/>
  <c r="F150" i="5"/>
  <c r="F151" i="5" s="1"/>
  <c r="E156" i="5"/>
  <c r="D175" i="5"/>
  <c r="D176" i="5" s="1"/>
  <c r="D174" i="5"/>
  <c r="D157" i="5"/>
  <c r="F28" i="5"/>
  <c r="F27" i="5"/>
  <c r="F26" i="5"/>
  <c r="F21" i="5"/>
  <c r="F20" i="5"/>
  <c r="F18" i="5"/>
  <c r="F17" i="5"/>
  <c r="F15" i="5" s="1"/>
  <c r="C172" i="5"/>
  <c r="C171" i="5"/>
  <c r="C170" i="5"/>
  <c r="C165" i="5"/>
  <c r="C164" i="5"/>
  <c r="C162" i="5"/>
  <c r="C161" i="5"/>
  <c r="J167" i="5"/>
  <c r="M167" i="5"/>
  <c r="I167" i="5"/>
  <c r="E167" i="5"/>
  <c r="L167" i="5"/>
  <c r="D167" i="5"/>
  <c r="N167" i="5"/>
  <c r="K167" i="5"/>
  <c r="G167" i="5"/>
  <c r="C167" i="5"/>
  <c r="H167" i="5"/>
  <c r="F167" i="5"/>
  <c r="E76" i="5"/>
  <c r="E75" i="5"/>
  <c r="E74" i="5"/>
  <c r="E69" i="5"/>
  <c r="E68" i="5"/>
  <c r="E66" i="5"/>
  <c r="E65" i="5"/>
  <c r="C87" i="5"/>
  <c r="C84" i="5"/>
  <c r="H33" i="5"/>
  <c r="I6" i="5"/>
  <c r="H7" i="5"/>
  <c r="H12" i="5" s="1"/>
  <c r="H54" i="5"/>
  <c r="H55" i="5" s="1"/>
  <c r="G81" i="5"/>
  <c r="G60" i="5"/>
  <c r="C131" i="5"/>
  <c r="F129" i="5"/>
  <c r="G102" i="5"/>
  <c r="G103" i="5" s="1"/>
  <c r="F108" i="5"/>
  <c r="G79" i="4"/>
  <c r="G80" i="4" s="1"/>
  <c r="G78" i="4"/>
  <c r="G61" i="4"/>
  <c r="F13" i="4"/>
  <c r="F31" i="4"/>
  <c r="F32" i="4" s="1"/>
  <c r="F30" i="4"/>
  <c r="E164" i="4"/>
  <c r="E162" i="4"/>
  <c r="E161" i="4"/>
  <c r="E159" i="4" s="1"/>
  <c r="E171" i="4"/>
  <c r="E170" i="4"/>
  <c r="E172" i="4"/>
  <c r="E165" i="4"/>
  <c r="C36" i="4"/>
  <c r="C39" i="4"/>
  <c r="H81" i="4"/>
  <c r="H60" i="4"/>
  <c r="I54" i="4"/>
  <c r="I55" i="4" s="1"/>
  <c r="C183" i="4"/>
  <c r="C180" i="4"/>
  <c r="C135" i="4"/>
  <c r="C132" i="4"/>
  <c r="D131" i="4"/>
  <c r="D132" i="4" s="1"/>
  <c r="G129" i="4"/>
  <c r="H102" i="4"/>
  <c r="H103" i="4" s="1"/>
  <c r="G108" i="4"/>
  <c r="G33" i="4"/>
  <c r="H6" i="4"/>
  <c r="G7" i="4"/>
  <c r="G12" i="4" s="1"/>
  <c r="D35" i="4"/>
  <c r="D36" i="4" s="1"/>
  <c r="D47" i="4"/>
  <c r="C87" i="4"/>
  <c r="C84" i="4"/>
  <c r="F76" i="4"/>
  <c r="F75" i="4"/>
  <c r="F74" i="4"/>
  <c r="F69" i="4"/>
  <c r="F68" i="4"/>
  <c r="F66" i="4"/>
  <c r="F65" i="4"/>
  <c r="F63" i="4" s="1"/>
  <c r="E28" i="4"/>
  <c r="E27" i="4"/>
  <c r="E26" i="4"/>
  <c r="E21" i="4"/>
  <c r="E20" i="4"/>
  <c r="E18" i="4"/>
  <c r="E17" i="4"/>
  <c r="F175" i="4"/>
  <c r="F176" i="4" s="1"/>
  <c r="F174" i="4"/>
  <c r="F157" i="4"/>
  <c r="F127" i="4"/>
  <c r="F128" i="4" s="1"/>
  <c r="F126" i="4"/>
  <c r="F109" i="4"/>
  <c r="E124" i="4"/>
  <c r="E122" i="4"/>
  <c r="E117" i="4"/>
  <c r="E123" i="4"/>
  <c r="E116" i="4"/>
  <c r="E114" i="4"/>
  <c r="E113" i="4"/>
  <c r="D179" i="4"/>
  <c r="D180" i="4" s="1"/>
  <c r="E95" i="4"/>
  <c r="E83" i="4"/>
  <c r="E84" i="4" s="1"/>
  <c r="E10" i="3"/>
  <c r="S108" i="1"/>
  <c r="R67" i="1"/>
  <c r="AK20" i="1" s="1"/>
  <c r="Z33" i="1"/>
  <c r="Q166" i="1"/>
  <c r="R166" i="1" s="1"/>
  <c r="AK33" i="1"/>
  <c r="Q108" i="1"/>
  <c r="R108" i="1" s="1"/>
  <c r="Q88" i="1"/>
  <c r="S89" i="1" s="1"/>
  <c r="AL10" i="1"/>
  <c r="I109" i="1"/>
  <c r="H108" i="1"/>
  <c r="R88" i="1"/>
  <c r="S167" i="1"/>
  <c r="I148" i="1"/>
  <c r="H147" i="1"/>
  <c r="N70" i="1"/>
  <c r="Q147" i="1"/>
  <c r="P167" i="1"/>
  <c r="O167" i="1"/>
  <c r="I167" i="1"/>
  <c r="H166" i="1"/>
  <c r="I89" i="1"/>
  <c r="H88" i="1"/>
  <c r="P109" i="1"/>
  <c r="O109" i="1"/>
  <c r="Q129" i="1"/>
  <c r="P89" i="1"/>
  <c r="O89" i="1"/>
  <c r="P148" i="1"/>
  <c r="O148" i="1"/>
  <c r="Q148" i="1"/>
  <c r="O69" i="1"/>
  <c r="Y22" i="1" s="1"/>
  <c r="P69" i="1"/>
  <c r="AJ23" i="1" s="1"/>
  <c r="R128" i="1"/>
  <c r="S129" i="1"/>
  <c r="F89" i="1"/>
  <c r="G89" i="1" s="1"/>
  <c r="E90" i="1"/>
  <c r="N90" i="1"/>
  <c r="F167" i="1"/>
  <c r="G167" i="1" s="1"/>
  <c r="N168" i="1"/>
  <c r="Q68" i="1"/>
  <c r="P130" i="1"/>
  <c r="O130" i="1"/>
  <c r="F148" i="1"/>
  <c r="G148" i="1" s="1"/>
  <c r="E149" i="1"/>
  <c r="N149" i="1"/>
  <c r="N110" i="1"/>
  <c r="AL34" i="1"/>
  <c r="S51" i="1" l="1"/>
  <c r="R50" i="1"/>
  <c r="R31" i="1"/>
  <c r="S32" i="1"/>
  <c r="E15" i="4"/>
  <c r="E47" i="4" s="1"/>
  <c r="C159" i="5"/>
  <c r="D111" i="5"/>
  <c r="R49" i="1"/>
  <c r="S50" i="1"/>
  <c r="M111" i="1"/>
  <c r="M170" i="1" s="1"/>
  <c r="N52" i="1"/>
  <c r="D52" i="1"/>
  <c r="M53" i="1"/>
  <c r="F69" i="1"/>
  <c r="AE22" i="1"/>
  <c r="G151" i="4"/>
  <c r="G156" i="4" s="1"/>
  <c r="G175" i="4" s="1"/>
  <c r="G176" i="4" s="1"/>
  <c r="G177" i="4"/>
  <c r="H150" i="4"/>
  <c r="D129" i="1"/>
  <c r="E129" i="1" s="1"/>
  <c r="E70" i="1"/>
  <c r="P12" i="1"/>
  <c r="AJ13" i="1" s="1"/>
  <c r="O12" i="1"/>
  <c r="Y12" i="1" s="1"/>
  <c r="AF9" i="1"/>
  <c r="Z9" i="1"/>
  <c r="E111" i="4"/>
  <c r="E63" i="5"/>
  <c r="E83" i="5" s="1"/>
  <c r="E84" i="5" s="1"/>
  <c r="D92" i="5" s="1"/>
  <c r="D93" i="5" s="1"/>
  <c r="C159" i="6"/>
  <c r="G15" i="6"/>
  <c r="G35" i="6" s="1"/>
  <c r="G36" i="6" s="1"/>
  <c r="Q11" i="1"/>
  <c r="Y11" i="1"/>
  <c r="H55" i="6"/>
  <c r="H60" i="6" s="1"/>
  <c r="I54" i="6"/>
  <c r="H81" i="6"/>
  <c r="P51" i="1"/>
  <c r="O51" i="1"/>
  <c r="Q51" i="1" s="1"/>
  <c r="F128" i="1"/>
  <c r="X34" i="1" s="1"/>
  <c r="Z34" i="1" s="1"/>
  <c r="AA35" i="1" s="1"/>
  <c r="AI35" i="1" s="1"/>
  <c r="AE34" i="1"/>
  <c r="G128" i="1"/>
  <c r="D33" i="1"/>
  <c r="M92" i="1"/>
  <c r="M151" i="1" s="1"/>
  <c r="M34" i="1"/>
  <c r="N33" i="1"/>
  <c r="G10" i="1"/>
  <c r="AF20" i="1"/>
  <c r="Z20" i="1"/>
  <c r="AA21" i="1" s="1"/>
  <c r="AI21" i="1" s="1"/>
  <c r="G127" i="1"/>
  <c r="M72" i="1"/>
  <c r="M131" i="1" s="1"/>
  <c r="N131" i="1" s="1"/>
  <c r="D13" i="1"/>
  <c r="N13" i="1"/>
  <c r="M14" i="1"/>
  <c r="G79" i="6"/>
  <c r="G80" i="6" s="1"/>
  <c r="G78" i="6"/>
  <c r="G61" i="6"/>
  <c r="R10" i="1"/>
  <c r="AK10" i="1" s="1"/>
  <c r="S11" i="1"/>
  <c r="AL11" i="1" s="1"/>
  <c r="E51" i="1"/>
  <c r="D110" i="1"/>
  <c r="E63" i="6"/>
  <c r="P32" i="1"/>
  <c r="O32" i="1"/>
  <c r="Q32" i="1"/>
  <c r="Z10" i="1"/>
  <c r="AF10" i="1"/>
  <c r="I87" i="1"/>
  <c r="AH21" i="1" s="1"/>
  <c r="H86" i="1"/>
  <c r="AG20" i="1" s="1"/>
  <c r="H50" i="1"/>
  <c r="I51" i="1"/>
  <c r="D71" i="1"/>
  <c r="E12" i="1"/>
  <c r="X21" i="1"/>
  <c r="G68" i="1"/>
  <c r="I32" i="1"/>
  <c r="H31" i="1"/>
  <c r="H145" i="1"/>
  <c r="AG32" i="1" s="1"/>
  <c r="I146" i="1"/>
  <c r="AH33" i="1" s="1"/>
  <c r="E32" i="1"/>
  <c r="F32" i="1" s="1"/>
  <c r="G32" i="1" s="1"/>
  <c r="D91" i="1"/>
  <c r="D150" i="1" s="1"/>
  <c r="S31" i="1"/>
  <c r="R30" i="1"/>
  <c r="AE11" i="1"/>
  <c r="F11" i="1"/>
  <c r="X11" i="1" s="1"/>
  <c r="F69" i="6"/>
  <c r="F76" i="6"/>
  <c r="F68" i="6"/>
  <c r="F75" i="6"/>
  <c r="F66" i="6"/>
  <c r="F74" i="6"/>
  <c r="F65" i="6"/>
  <c r="F63" i="6" s="1"/>
  <c r="D168" i="1"/>
  <c r="E168" i="1" s="1"/>
  <c r="E109" i="1"/>
  <c r="F109" i="1" s="1"/>
  <c r="G109" i="1" s="1"/>
  <c r="I10" i="1"/>
  <c r="AH10" i="1" s="1"/>
  <c r="H9" i="1"/>
  <c r="AG9" i="1" s="1"/>
  <c r="E157" i="6"/>
  <c r="E174" i="6"/>
  <c r="E175" i="6"/>
  <c r="E176" i="6" s="1"/>
  <c r="C179" i="6"/>
  <c r="G47" i="6"/>
  <c r="D131" i="6"/>
  <c r="D132" i="6" s="1"/>
  <c r="I31" i="6"/>
  <c r="I32" i="6" s="1"/>
  <c r="I30" i="6"/>
  <c r="I13" i="6"/>
  <c r="G129" i="6"/>
  <c r="G108" i="6"/>
  <c r="H102" i="6"/>
  <c r="H103" i="6" s="1"/>
  <c r="F177" i="6"/>
  <c r="G150" i="6"/>
  <c r="G151" i="6" s="1"/>
  <c r="F156" i="6"/>
  <c r="E124" i="6"/>
  <c r="E123" i="6"/>
  <c r="E122" i="6"/>
  <c r="E117" i="6"/>
  <c r="E116" i="6"/>
  <c r="E114" i="6"/>
  <c r="E113" i="6"/>
  <c r="D172" i="6"/>
  <c r="D171" i="6"/>
  <c r="D170" i="6"/>
  <c r="D165" i="6"/>
  <c r="D164" i="6"/>
  <c r="D162" i="6"/>
  <c r="D161" i="6"/>
  <c r="D159" i="6" s="1"/>
  <c r="C132" i="6"/>
  <c r="C135" i="6"/>
  <c r="H20" i="6"/>
  <c r="H18" i="6"/>
  <c r="H17" i="6"/>
  <c r="H15" i="6" s="1"/>
  <c r="H28" i="6"/>
  <c r="H27" i="6"/>
  <c r="H26" i="6"/>
  <c r="H21" i="6"/>
  <c r="J7" i="6"/>
  <c r="J12" i="6" s="1"/>
  <c r="J33" i="6"/>
  <c r="K6" i="6"/>
  <c r="F126" i="6"/>
  <c r="F109" i="6"/>
  <c r="F127" i="6"/>
  <c r="F128" i="6" s="1"/>
  <c r="G79" i="5"/>
  <c r="G78" i="5"/>
  <c r="G61" i="5"/>
  <c r="E175" i="5"/>
  <c r="E176" i="5" s="1"/>
  <c r="E174" i="5"/>
  <c r="E157" i="5"/>
  <c r="F127" i="5"/>
  <c r="F128" i="5" s="1"/>
  <c r="F126" i="5"/>
  <c r="F109" i="5"/>
  <c r="C132" i="5"/>
  <c r="C135" i="5"/>
  <c r="H31" i="5"/>
  <c r="H32" i="5" s="1"/>
  <c r="H30" i="5"/>
  <c r="H13" i="5"/>
  <c r="C179" i="5"/>
  <c r="D172" i="5"/>
  <c r="D171" i="5"/>
  <c r="D170" i="5"/>
  <c r="D165" i="5"/>
  <c r="D164" i="5"/>
  <c r="D162" i="5"/>
  <c r="D161" i="5"/>
  <c r="F156" i="5"/>
  <c r="G150" i="5"/>
  <c r="G151" i="5" s="1"/>
  <c r="F177" i="5"/>
  <c r="E124" i="5"/>
  <c r="E123" i="5"/>
  <c r="E122" i="5"/>
  <c r="E117" i="5"/>
  <c r="E116" i="5"/>
  <c r="E114" i="5"/>
  <c r="E113" i="5"/>
  <c r="E111" i="5" s="1"/>
  <c r="F76" i="5"/>
  <c r="F75" i="5"/>
  <c r="F74" i="5"/>
  <c r="F69" i="5"/>
  <c r="F68" i="5"/>
  <c r="F66" i="5"/>
  <c r="F65" i="5"/>
  <c r="F63" i="5" s="1"/>
  <c r="G28" i="5"/>
  <c r="G27" i="5"/>
  <c r="G26" i="5"/>
  <c r="G21" i="5"/>
  <c r="G20" i="5"/>
  <c r="G18" i="5"/>
  <c r="G17" i="5"/>
  <c r="G129" i="5"/>
  <c r="G108" i="5"/>
  <c r="H102" i="5"/>
  <c r="H103" i="5" s="1"/>
  <c r="H81" i="5"/>
  <c r="H60" i="5"/>
  <c r="I54" i="5"/>
  <c r="I55" i="5" s="1"/>
  <c r="I33" i="5"/>
  <c r="I7" i="5"/>
  <c r="I12" i="5" s="1"/>
  <c r="J6" i="5"/>
  <c r="E95" i="5"/>
  <c r="F47" i="5"/>
  <c r="F35" i="5"/>
  <c r="F36" i="5" s="1"/>
  <c r="D131" i="5"/>
  <c r="D132" i="5" s="1"/>
  <c r="H79" i="4"/>
  <c r="H78" i="4"/>
  <c r="H61" i="4"/>
  <c r="E143" i="4"/>
  <c r="E131" i="4"/>
  <c r="E132" i="4" s="1"/>
  <c r="D140" i="4" s="1"/>
  <c r="D141" i="4" s="1"/>
  <c r="F95" i="4"/>
  <c r="F83" i="4"/>
  <c r="F84" i="4" s="1"/>
  <c r="G31" i="4"/>
  <c r="G32" i="4" s="1"/>
  <c r="G30" i="4"/>
  <c r="G13" i="4"/>
  <c r="H129" i="4"/>
  <c r="H108" i="4"/>
  <c r="I102" i="4"/>
  <c r="I103" i="4" s="1"/>
  <c r="G157" i="4"/>
  <c r="E191" i="4"/>
  <c r="E179" i="4"/>
  <c r="E180" i="4" s="1"/>
  <c r="D188" i="4" s="1"/>
  <c r="D189" i="4" s="1"/>
  <c r="G76" i="4"/>
  <c r="G75" i="4"/>
  <c r="G74" i="4"/>
  <c r="G69" i="4"/>
  <c r="G68" i="4"/>
  <c r="G66" i="4"/>
  <c r="G65" i="4"/>
  <c r="G63" i="4" s="1"/>
  <c r="F124" i="4"/>
  <c r="F123" i="4"/>
  <c r="F122" i="4"/>
  <c r="F117" i="4"/>
  <c r="F116" i="4"/>
  <c r="F114" i="4"/>
  <c r="F113" i="4"/>
  <c r="F111" i="4" s="1"/>
  <c r="F172" i="4"/>
  <c r="F171" i="4"/>
  <c r="F170" i="4"/>
  <c r="F165" i="4"/>
  <c r="F162" i="4"/>
  <c r="F164" i="4"/>
  <c r="F161" i="4"/>
  <c r="E35" i="4"/>
  <c r="E36" i="4" s="1"/>
  <c r="D44" i="4" s="1"/>
  <c r="D45" i="4" s="1"/>
  <c r="D92" i="4"/>
  <c r="D93" i="4" s="1"/>
  <c r="H33" i="4"/>
  <c r="H7" i="4"/>
  <c r="H12" i="4" s="1"/>
  <c r="I6" i="4"/>
  <c r="G127" i="4"/>
  <c r="G128" i="4" s="1"/>
  <c r="G126" i="4"/>
  <c r="G109" i="4"/>
  <c r="J54" i="4"/>
  <c r="J55" i="4" s="1"/>
  <c r="I81" i="4"/>
  <c r="I60" i="4"/>
  <c r="F21" i="4"/>
  <c r="F20" i="4"/>
  <c r="F18" i="4"/>
  <c r="F17" i="4"/>
  <c r="F28" i="4"/>
  <c r="F27" i="4"/>
  <c r="F26" i="4"/>
  <c r="G10" i="3"/>
  <c r="S109" i="1"/>
  <c r="AJ36" i="1"/>
  <c r="Q167" i="1"/>
  <c r="S168" i="1" s="1"/>
  <c r="Q109" i="1"/>
  <c r="R109" i="1" s="1"/>
  <c r="Q89" i="1"/>
  <c r="S90" i="1" s="1"/>
  <c r="H148" i="1"/>
  <c r="I149" i="1"/>
  <c r="R89" i="1"/>
  <c r="H109" i="1"/>
  <c r="I110" i="1"/>
  <c r="H167" i="1"/>
  <c r="I168" i="1"/>
  <c r="H89" i="1"/>
  <c r="I90" i="1"/>
  <c r="O110" i="1"/>
  <c r="P110" i="1"/>
  <c r="O149" i="1"/>
  <c r="P149" i="1"/>
  <c r="F149" i="1"/>
  <c r="G149" i="1" s="1"/>
  <c r="O168" i="1"/>
  <c r="Y36" i="1" s="1"/>
  <c r="P168" i="1"/>
  <c r="F168" i="1"/>
  <c r="G168" i="1" s="1"/>
  <c r="O90" i="1"/>
  <c r="P90" i="1"/>
  <c r="F90" i="1"/>
  <c r="G90" i="1" s="1"/>
  <c r="R148" i="1"/>
  <c r="S149" i="1"/>
  <c r="O131" i="1"/>
  <c r="P131" i="1"/>
  <c r="AF34" i="1"/>
  <c r="S148" i="1"/>
  <c r="AL35" i="1" s="1"/>
  <c r="R147" i="1"/>
  <c r="AK34" i="1" s="1"/>
  <c r="N71" i="1"/>
  <c r="N111" i="1"/>
  <c r="N150" i="1"/>
  <c r="E150" i="1"/>
  <c r="Q130" i="1"/>
  <c r="R68" i="1"/>
  <c r="AK21" i="1" s="1"/>
  <c r="S69" i="1"/>
  <c r="AL22" i="1" s="1"/>
  <c r="N169" i="1"/>
  <c r="N91" i="1"/>
  <c r="Y35" i="1"/>
  <c r="Q69" i="1"/>
  <c r="S130" i="1"/>
  <c r="R129" i="1"/>
  <c r="P70" i="1"/>
  <c r="AJ24" i="1" s="1"/>
  <c r="O70" i="1"/>
  <c r="Y23" i="1" s="1"/>
  <c r="R51" i="1" l="1"/>
  <c r="S52" i="1"/>
  <c r="H79" i="6"/>
  <c r="H80" i="6" s="1"/>
  <c r="H78" i="6"/>
  <c r="H61" i="6"/>
  <c r="F83" i="6"/>
  <c r="F84" i="6" s="1"/>
  <c r="F95" i="6"/>
  <c r="AF11" i="1"/>
  <c r="Z11" i="1"/>
  <c r="Z21" i="1"/>
  <c r="AF21" i="1"/>
  <c r="E95" i="6"/>
  <c r="E83" i="6"/>
  <c r="E84" i="6" s="1"/>
  <c r="D92" i="6" s="1"/>
  <c r="D93" i="6" s="1"/>
  <c r="D14" i="1"/>
  <c r="M73" i="1"/>
  <c r="M132" i="1" s="1"/>
  <c r="N132" i="1" s="1"/>
  <c r="M15" i="1"/>
  <c r="N14" i="1"/>
  <c r="I128" i="1"/>
  <c r="AH34" i="1" s="1"/>
  <c r="H127" i="1"/>
  <c r="AG33" i="1" s="1"/>
  <c r="O33" i="1"/>
  <c r="P33" i="1"/>
  <c r="Q33" i="1"/>
  <c r="I129" i="1"/>
  <c r="AH35" i="1" s="1"/>
  <c r="H128" i="1"/>
  <c r="AG34" i="1" s="1"/>
  <c r="I55" i="6"/>
  <c r="I81" i="6"/>
  <c r="I60" i="6"/>
  <c r="J54" i="6"/>
  <c r="AA11" i="1"/>
  <c r="AI11" i="1" s="1"/>
  <c r="M112" i="1"/>
  <c r="M171" i="1" s="1"/>
  <c r="M54" i="1"/>
  <c r="D53" i="1"/>
  <c r="N53" i="1"/>
  <c r="H32" i="1"/>
  <c r="I33" i="1"/>
  <c r="AE12" i="1"/>
  <c r="F12" i="1"/>
  <c r="R32" i="1"/>
  <c r="S33" i="1"/>
  <c r="D169" i="1"/>
  <c r="E169" i="1" s="1"/>
  <c r="E110" i="1"/>
  <c r="F110" i="1" s="1"/>
  <c r="G110" i="1" s="1"/>
  <c r="G69" i="6"/>
  <c r="G76" i="6"/>
  <c r="G68" i="6"/>
  <c r="G75" i="6"/>
  <c r="G66" i="6"/>
  <c r="G74" i="6"/>
  <c r="G65" i="6"/>
  <c r="G63" i="6" s="1"/>
  <c r="P13" i="1"/>
  <c r="AJ14" i="1" s="1"/>
  <c r="O13" i="1"/>
  <c r="Y13" i="1" s="1"/>
  <c r="M93" i="1"/>
  <c r="M152" i="1" s="1"/>
  <c r="N34" i="1"/>
  <c r="M35" i="1"/>
  <c r="D34" i="1"/>
  <c r="AE23" i="1"/>
  <c r="G70" i="1"/>
  <c r="F70" i="1"/>
  <c r="X23" i="1" s="1"/>
  <c r="E52" i="1"/>
  <c r="D111" i="1"/>
  <c r="F15" i="4"/>
  <c r="G174" i="4"/>
  <c r="G15" i="5"/>
  <c r="D159" i="5"/>
  <c r="E111" i="6"/>
  <c r="D130" i="1"/>
  <c r="E130" i="1" s="1"/>
  <c r="E71" i="1"/>
  <c r="AE13" i="1"/>
  <c r="F51" i="1"/>
  <c r="G51" i="1" s="1"/>
  <c r="D72" i="1"/>
  <c r="E13" i="1"/>
  <c r="Q12" i="1"/>
  <c r="AE35" i="1"/>
  <c r="F129" i="1"/>
  <c r="X35" i="1" s="1"/>
  <c r="O52" i="1"/>
  <c r="Q52" i="1" s="1"/>
  <c r="P52" i="1"/>
  <c r="E91" i="1"/>
  <c r="R167" i="1"/>
  <c r="G11" i="1"/>
  <c r="H68" i="1"/>
  <c r="AG21" i="1" s="1"/>
  <c r="I69" i="1"/>
  <c r="AH22" i="1" s="1"/>
  <c r="H10" i="1"/>
  <c r="AG10" i="1" s="1"/>
  <c r="I11" i="1"/>
  <c r="AH11" i="1" s="1"/>
  <c r="D92" i="1"/>
  <c r="D151" i="1" s="1"/>
  <c r="E33" i="1"/>
  <c r="F33" i="1" s="1"/>
  <c r="G33" i="1" s="1"/>
  <c r="S12" i="1"/>
  <c r="AL12" i="1" s="1"/>
  <c r="R11" i="1"/>
  <c r="AK11" i="1" s="1"/>
  <c r="H151" i="4"/>
  <c r="H156" i="4" s="1"/>
  <c r="H177" i="4"/>
  <c r="I150" i="4"/>
  <c r="X22" i="1"/>
  <c r="G69" i="1"/>
  <c r="G80" i="5"/>
  <c r="J31" i="6"/>
  <c r="J32" i="6" s="1"/>
  <c r="J30" i="6"/>
  <c r="J13" i="6"/>
  <c r="F175" i="6"/>
  <c r="F176" i="6" s="1"/>
  <c r="F174" i="6"/>
  <c r="F157" i="6"/>
  <c r="F123" i="6"/>
  <c r="F116" i="6"/>
  <c r="F114" i="6"/>
  <c r="F113" i="6"/>
  <c r="F111" i="6" s="1"/>
  <c r="F124" i="6"/>
  <c r="F122" i="6"/>
  <c r="F117" i="6"/>
  <c r="K33" i="6"/>
  <c r="L6" i="6"/>
  <c r="K7" i="6"/>
  <c r="K12" i="6" s="1"/>
  <c r="H35" i="6"/>
  <c r="H36" i="6" s="1"/>
  <c r="E44" i="6" s="1"/>
  <c r="E45" i="6" s="1"/>
  <c r="H47" i="6"/>
  <c r="E143" i="6"/>
  <c r="E131" i="6"/>
  <c r="E132" i="6" s="1"/>
  <c r="D140" i="6" s="1"/>
  <c r="D141" i="6" s="1"/>
  <c r="G177" i="6"/>
  <c r="G156" i="6"/>
  <c r="H150" i="6"/>
  <c r="H151" i="6" s="1"/>
  <c r="G127" i="6"/>
  <c r="G128" i="6" s="1"/>
  <c r="G126" i="6"/>
  <c r="G109" i="6"/>
  <c r="I28" i="6"/>
  <c r="I27" i="6"/>
  <c r="I26" i="6"/>
  <c r="I21" i="6"/>
  <c r="I20" i="6"/>
  <c r="I18" i="6"/>
  <c r="I17" i="6"/>
  <c r="C183" i="6"/>
  <c r="C180" i="6"/>
  <c r="E164" i="6"/>
  <c r="E162" i="6"/>
  <c r="E161" i="6"/>
  <c r="E171" i="6"/>
  <c r="E170" i="6"/>
  <c r="E172" i="6"/>
  <c r="E165" i="6"/>
  <c r="D179" i="6"/>
  <c r="D180" i="6" s="1"/>
  <c r="H129" i="6"/>
  <c r="I102" i="6"/>
  <c r="I103" i="6" s="1"/>
  <c r="H108" i="6"/>
  <c r="I31" i="5"/>
  <c r="I32" i="5" s="1"/>
  <c r="I30" i="5"/>
  <c r="I13" i="5"/>
  <c r="F157" i="5"/>
  <c r="F174" i="5"/>
  <c r="F175" i="5"/>
  <c r="F176" i="5" s="1"/>
  <c r="H79" i="5"/>
  <c r="H78" i="5"/>
  <c r="H61" i="5"/>
  <c r="I102" i="5"/>
  <c r="I103" i="5" s="1"/>
  <c r="H129" i="5"/>
  <c r="H108" i="5"/>
  <c r="F95" i="5"/>
  <c r="F83" i="5"/>
  <c r="F84" i="5" s="1"/>
  <c r="D179" i="5"/>
  <c r="D180" i="5" s="1"/>
  <c r="K6" i="5"/>
  <c r="J33" i="5"/>
  <c r="J7" i="5"/>
  <c r="J12" i="5" s="1"/>
  <c r="J54" i="5"/>
  <c r="J55" i="5" s="1"/>
  <c r="I81" i="5"/>
  <c r="I60" i="5"/>
  <c r="G127" i="5"/>
  <c r="G128" i="5" s="1"/>
  <c r="G126" i="5"/>
  <c r="G109" i="5"/>
  <c r="G47" i="5"/>
  <c r="G35" i="5"/>
  <c r="G36" i="5" s="1"/>
  <c r="E143" i="5"/>
  <c r="E131" i="5"/>
  <c r="E132" i="5" s="1"/>
  <c r="D140" i="5" s="1"/>
  <c r="D141" i="5" s="1"/>
  <c r="G177" i="5"/>
  <c r="H150" i="5"/>
  <c r="H151" i="5" s="1"/>
  <c r="G156" i="5"/>
  <c r="C180" i="5"/>
  <c r="C183" i="5"/>
  <c r="H28" i="5"/>
  <c r="H27" i="5"/>
  <c r="H26" i="5"/>
  <c r="H21" i="5"/>
  <c r="H20" i="5"/>
  <c r="H18" i="5"/>
  <c r="H17" i="5"/>
  <c r="H15" i="5" s="1"/>
  <c r="F124" i="5"/>
  <c r="F123" i="5"/>
  <c r="F122" i="5"/>
  <c r="F117" i="5"/>
  <c r="F116" i="5"/>
  <c r="F114" i="5"/>
  <c r="F113" i="5"/>
  <c r="E172" i="5"/>
  <c r="E171" i="5"/>
  <c r="E170" i="5"/>
  <c r="E165" i="5"/>
  <c r="E162" i="5"/>
  <c r="E164" i="5"/>
  <c r="E161" i="5"/>
  <c r="G76" i="5"/>
  <c r="G75" i="5"/>
  <c r="G74" i="5"/>
  <c r="G69" i="5"/>
  <c r="G68" i="5"/>
  <c r="G66" i="5"/>
  <c r="G65" i="5"/>
  <c r="G63" i="5" s="1"/>
  <c r="F159" i="4"/>
  <c r="F179" i="4" s="1"/>
  <c r="F180" i="4" s="1"/>
  <c r="H31" i="4"/>
  <c r="H32" i="4" s="1"/>
  <c r="H30" i="4"/>
  <c r="H13" i="4"/>
  <c r="I79" i="4"/>
  <c r="I78" i="4"/>
  <c r="I61" i="4"/>
  <c r="J81" i="4"/>
  <c r="J60" i="4"/>
  <c r="K54" i="4"/>
  <c r="K55" i="4" s="1"/>
  <c r="F191" i="4"/>
  <c r="G172" i="4"/>
  <c r="G171" i="4"/>
  <c r="G170" i="4"/>
  <c r="G165" i="4"/>
  <c r="G164" i="4"/>
  <c r="G162" i="4"/>
  <c r="G161" i="4"/>
  <c r="J102" i="4"/>
  <c r="J103" i="4" s="1"/>
  <c r="I129" i="4"/>
  <c r="I108" i="4"/>
  <c r="H175" i="4"/>
  <c r="H176" i="4" s="1"/>
  <c r="H174" i="4"/>
  <c r="H157" i="4"/>
  <c r="G28" i="4"/>
  <c r="G27" i="4"/>
  <c r="G26" i="4"/>
  <c r="G21" i="4"/>
  <c r="G20" i="4"/>
  <c r="G18" i="4"/>
  <c r="G17" i="4"/>
  <c r="G15" i="4" s="1"/>
  <c r="H80" i="4"/>
  <c r="F47" i="4"/>
  <c r="F35" i="4"/>
  <c r="F36" i="4" s="1"/>
  <c r="G124" i="4"/>
  <c r="G123" i="4"/>
  <c r="G122" i="4"/>
  <c r="G117" i="4"/>
  <c r="G116" i="4"/>
  <c r="G114" i="4"/>
  <c r="G113" i="4"/>
  <c r="G111" i="4" s="1"/>
  <c r="I33" i="4"/>
  <c r="J6" i="4"/>
  <c r="I12" i="4"/>
  <c r="I7" i="4"/>
  <c r="F143" i="4"/>
  <c r="F131" i="4"/>
  <c r="F132" i="4" s="1"/>
  <c r="G95" i="4"/>
  <c r="G83" i="4"/>
  <c r="G84" i="4" s="1"/>
  <c r="H127" i="4"/>
  <c r="H128" i="4" s="1"/>
  <c r="H126" i="4"/>
  <c r="H109" i="4"/>
  <c r="H76" i="4"/>
  <c r="H75" i="4"/>
  <c r="H74" i="4"/>
  <c r="H69" i="4"/>
  <c r="H68" i="4"/>
  <c r="H66" i="4"/>
  <c r="H65" i="4"/>
  <c r="H10" i="3"/>
  <c r="D11" i="3" s="1"/>
  <c r="AK35" i="1"/>
  <c r="AJ37" i="1"/>
  <c r="AL36" i="1"/>
  <c r="Q149" i="1"/>
  <c r="S150" i="1" s="1"/>
  <c r="Q110" i="1"/>
  <c r="S110" i="1"/>
  <c r="Q90" i="1"/>
  <c r="S91" i="1" s="1"/>
  <c r="Q70" i="1"/>
  <c r="S71" i="1" s="1"/>
  <c r="AL24" i="1" s="1"/>
  <c r="I169" i="1"/>
  <c r="H168" i="1"/>
  <c r="S111" i="1"/>
  <c r="R110" i="1"/>
  <c r="I91" i="1"/>
  <c r="H90" i="1"/>
  <c r="I111" i="1"/>
  <c r="H110" i="1"/>
  <c r="R70" i="1"/>
  <c r="AK23" i="1" s="1"/>
  <c r="P132" i="1"/>
  <c r="O132" i="1"/>
  <c r="AF23" i="1"/>
  <c r="Z23" i="1"/>
  <c r="F91" i="1"/>
  <c r="G91" i="1" s="1"/>
  <c r="E92" i="1"/>
  <c r="N92" i="1"/>
  <c r="P169" i="1"/>
  <c r="O169" i="1"/>
  <c r="R130" i="1"/>
  <c r="S131" i="1"/>
  <c r="P150" i="1"/>
  <c r="O150" i="1"/>
  <c r="Q150" i="1" s="1"/>
  <c r="N112" i="1"/>
  <c r="N72" i="1"/>
  <c r="Q168" i="1"/>
  <c r="I150" i="1"/>
  <c r="H149" i="1"/>
  <c r="S70" i="1"/>
  <c r="AL23" i="1" s="1"/>
  <c r="R69" i="1"/>
  <c r="AK22" i="1" s="1"/>
  <c r="P91" i="1"/>
  <c r="O91" i="1"/>
  <c r="F169" i="1"/>
  <c r="G169" i="1" s="1"/>
  <c r="N170" i="1"/>
  <c r="F150" i="1"/>
  <c r="G150" i="1" s="1"/>
  <c r="E151" i="1"/>
  <c r="N151" i="1"/>
  <c r="P111" i="1"/>
  <c r="O111" i="1"/>
  <c r="O71" i="1"/>
  <c r="Y24" i="1" s="1"/>
  <c r="P71" i="1"/>
  <c r="AJ25" i="1" s="1"/>
  <c r="AF35" i="1"/>
  <c r="Z35" i="1"/>
  <c r="Q131" i="1"/>
  <c r="S53" i="1" l="1"/>
  <c r="R52" i="1"/>
  <c r="H63" i="4"/>
  <c r="H95" i="4" s="1"/>
  <c r="G159" i="4"/>
  <c r="F111" i="5"/>
  <c r="I151" i="4"/>
  <c r="I156" i="4" s="1"/>
  <c r="I174" i="4" s="1"/>
  <c r="I177" i="4"/>
  <c r="J150" i="4"/>
  <c r="H11" i="1"/>
  <c r="AG11" i="1" s="1"/>
  <c r="I12" i="1"/>
  <c r="AH12" i="1" s="1"/>
  <c r="D131" i="1"/>
  <c r="E131" i="1" s="1"/>
  <c r="E72" i="1"/>
  <c r="F130" i="1"/>
  <c r="AE36" i="1"/>
  <c r="M94" i="1"/>
  <c r="M153" i="1" s="1"/>
  <c r="D35" i="1"/>
  <c r="N35" i="1"/>
  <c r="M36" i="1"/>
  <c r="Q13" i="1"/>
  <c r="M113" i="1"/>
  <c r="M172" i="1" s="1"/>
  <c r="N54" i="1"/>
  <c r="D54" i="1"/>
  <c r="M55" i="1"/>
  <c r="I78" i="6"/>
  <c r="I61" i="6"/>
  <c r="I79" i="6"/>
  <c r="I80" i="6" s="1"/>
  <c r="H51" i="1"/>
  <c r="I52" i="1"/>
  <c r="H70" i="1"/>
  <c r="AG23" i="1" s="1"/>
  <c r="I71" i="1"/>
  <c r="AH24" i="1" s="1"/>
  <c r="P34" i="1"/>
  <c r="Q34" i="1" s="1"/>
  <c r="O34" i="1"/>
  <c r="G12" i="1"/>
  <c r="X12" i="1"/>
  <c r="R33" i="1"/>
  <c r="S34" i="1"/>
  <c r="D73" i="1"/>
  <c r="E14" i="1"/>
  <c r="Q169" i="1"/>
  <c r="R169" i="1" s="1"/>
  <c r="I70" i="1"/>
  <c r="AH23" i="1" s="1"/>
  <c r="H69" i="1"/>
  <c r="AG22" i="1" s="1"/>
  <c r="H33" i="1"/>
  <c r="I34" i="1"/>
  <c r="R12" i="1"/>
  <c r="AK12" i="1" s="1"/>
  <c r="S13" i="1"/>
  <c r="AL13" i="1" s="1"/>
  <c r="D170" i="1"/>
  <c r="E170" i="1" s="1"/>
  <c r="F170" i="1" s="1"/>
  <c r="G170" i="1" s="1"/>
  <c r="E111" i="1"/>
  <c r="F111" i="1" s="1"/>
  <c r="G111" i="1" s="1"/>
  <c r="H111" i="1" s="1"/>
  <c r="G95" i="6"/>
  <c r="G83" i="6"/>
  <c r="G84" i="6" s="1"/>
  <c r="O53" i="1"/>
  <c r="P53" i="1"/>
  <c r="Q53" i="1"/>
  <c r="P14" i="1"/>
  <c r="AJ15" i="1" s="1"/>
  <c r="O14" i="1"/>
  <c r="Y14" i="1" s="1"/>
  <c r="Q14" i="1"/>
  <c r="E159" i="6"/>
  <c r="E179" i="6" s="1"/>
  <c r="E180" i="6" s="1"/>
  <c r="D188" i="6" s="1"/>
  <c r="D189" i="6" s="1"/>
  <c r="I15" i="6"/>
  <c r="AF22" i="1"/>
  <c r="Z22" i="1"/>
  <c r="AA23" i="1" s="1"/>
  <c r="AI23" i="1" s="1"/>
  <c r="G129" i="1"/>
  <c r="F13" i="1"/>
  <c r="X13" i="1" s="1"/>
  <c r="AF13" i="1" s="1"/>
  <c r="G13" i="1"/>
  <c r="AE24" i="1"/>
  <c r="F71" i="1"/>
  <c r="F52" i="1"/>
  <c r="G52" i="1"/>
  <c r="E34" i="1"/>
  <c r="F34" i="1" s="1"/>
  <c r="G34" i="1" s="1"/>
  <c r="D93" i="1"/>
  <c r="D152" i="1" s="1"/>
  <c r="E152" i="1" s="1"/>
  <c r="Z13" i="1"/>
  <c r="E53" i="1"/>
  <c r="D112" i="1"/>
  <c r="J55" i="6"/>
  <c r="J60" i="6" s="1"/>
  <c r="J81" i="6"/>
  <c r="K54" i="6"/>
  <c r="M74" i="1"/>
  <c r="M133" i="1" s="1"/>
  <c r="N133" i="1" s="1"/>
  <c r="P133" i="1" s="1"/>
  <c r="D15" i="1"/>
  <c r="M16" i="1"/>
  <c r="N15" i="1"/>
  <c r="H69" i="6"/>
  <c r="H76" i="6"/>
  <c r="H68" i="6"/>
  <c r="H75" i="6"/>
  <c r="H66" i="6"/>
  <c r="H74" i="6"/>
  <c r="H65" i="6"/>
  <c r="H63" i="6" s="1"/>
  <c r="I80" i="4"/>
  <c r="G175" i="6"/>
  <c r="G176" i="6" s="1"/>
  <c r="G174" i="6"/>
  <c r="G157" i="6"/>
  <c r="K31" i="6"/>
  <c r="K32" i="6" s="1"/>
  <c r="K30" i="6"/>
  <c r="K13" i="6"/>
  <c r="H127" i="6"/>
  <c r="H126" i="6"/>
  <c r="H109" i="6"/>
  <c r="E191" i="6"/>
  <c r="I47" i="6"/>
  <c r="I35" i="6"/>
  <c r="I36" i="6" s="1"/>
  <c r="L33" i="6"/>
  <c r="L7" i="6"/>
  <c r="L12" i="6" s="1"/>
  <c r="M6" i="6"/>
  <c r="F172" i="6"/>
  <c r="F171" i="6"/>
  <c r="F170" i="6"/>
  <c r="F165" i="6"/>
  <c r="F162" i="6"/>
  <c r="F164" i="6"/>
  <c r="F161" i="6"/>
  <c r="J28" i="6"/>
  <c r="J27" i="6"/>
  <c r="J26" i="6"/>
  <c r="J21" i="6"/>
  <c r="J20" i="6"/>
  <c r="J18" i="6"/>
  <c r="J17" i="6"/>
  <c r="J15" i="6" s="1"/>
  <c r="I129" i="6"/>
  <c r="I108" i="6"/>
  <c r="J102" i="6"/>
  <c r="J103" i="6" s="1"/>
  <c r="G124" i="6"/>
  <c r="G123" i="6"/>
  <c r="G122" i="6"/>
  <c r="G117" i="6"/>
  <c r="G116" i="6"/>
  <c r="G114" i="6"/>
  <c r="G113" i="6"/>
  <c r="G111" i="6" s="1"/>
  <c r="H177" i="6"/>
  <c r="I150" i="6"/>
  <c r="I151" i="6" s="1"/>
  <c r="H156" i="6"/>
  <c r="F143" i="6"/>
  <c r="F131" i="6"/>
  <c r="F132" i="6" s="1"/>
  <c r="G175" i="5"/>
  <c r="G176" i="5" s="1"/>
  <c r="G174" i="5"/>
  <c r="G157" i="5"/>
  <c r="I79" i="5"/>
  <c r="I80" i="5" s="1"/>
  <c r="I78" i="5"/>
  <c r="I61" i="5"/>
  <c r="G95" i="5"/>
  <c r="G83" i="5"/>
  <c r="G84" i="5" s="1"/>
  <c r="F131" i="5"/>
  <c r="F132" i="5" s="1"/>
  <c r="F143" i="5"/>
  <c r="H177" i="5"/>
  <c r="H156" i="5"/>
  <c r="I150" i="5"/>
  <c r="I151" i="5" s="1"/>
  <c r="G124" i="5"/>
  <c r="G123" i="5"/>
  <c r="G122" i="5"/>
  <c r="G117" i="5"/>
  <c r="G116" i="5"/>
  <c r="G114" i="5"/>
  <c r="G113" i="5"/>
  <c r="J31" i="5"/>
  <c r="J32" i="5" s="1"/>
  <c r="J30" i="5"/>
  <c r="J13" i="5"/>
  <c r="K33" i="5"/>
  <c r="K7" i="5"/>
  <c r="K12" i="5" s="1"/>
  <c r="L6" i="5"/>
  <c r="H76" i="5"/>
  <c r="H75" i="5"/>
  <c r="H74" i="5"/>
  <c r="H69" i="5"/>
  <c r="H68" i="5"/>
  <c r="H66" i="5"/>
  <c r="H65" i="5"/>
  <c r="E159" i="5"/>
  <c r="H35" i="5"/>
  <c r="H36" i="5" s="1"/>
  <c r="E44" i="5" s="1"/>
  <c r="E45" i="5" s="1"/>
  <c r="H47" i="5"/>
  <c r="J81" i="5"/>
  <c r="J60" i="5"/>
  <c r="K54" i="5"/>
  <c r="K55" i="5" s="1"/>
  <c r="H127" i="5"/>
  <c r="H128" i="5" s="1"/>
  <c r="H109" i="5"/>
  <c r="H126" i="5"/>
  <c r="I129" i="5"/>
  <c r="I108" i="5"/>
  <c r="J102" i="5"/>
  <c r="J103" i="5" s="1"/>
  <c r="H80" i="5"/>
  <c r="F164" i="5"/>
  <c r="F162" i="5"/>
  <c r="F161" i="5"/>
  <c r="F171" i="5"/>
  <c r="F170" i="5"/>
  <c r="F172" i="5"/>
  <c r="F165" i="5"/>
  <c r="I28" i="5"/>
  <c r="I27" i="5"/>
  <c r="I26" i="5"/>
  <c r="I21" i="5"/>
  <c r="I20" i="5"/>
  <c r="I18" i="5"/>
  <c r="I17" i="5"/>
  <c r="J79" i="4"/>
  <c r="J78" i="4"/>
  <c r="J61" i="4"/>
  <c r="H124" i="4"/>
  <c r="H123" i="4"/>
  <c r="H122" i="4"/>
  <c r="H117" i="4"/>
  <c r="H116" i="4"/>
  <c r="H114" i="4"/>
  <c r="H113" i="4"/>
  <c r="I31" i="4"/>
  <c r="I32" i="4" s="1"/>
  <c r="I30" i="4"/>
  <c r="I13" i="4"/>
  <c r="G47" i="4"/>
  <c r="G35" i="4"/>
  <c r="G36" i="4" s="1"/>
  <c r="I157" i="4"/>
  <c r="I175" i="4"/>
  <c r="I176" i="4" s="1"/>
  <c r="I76" i="4"/>
  <c r="I75" i="4"/>
  <c r="I74" i="4"/>
  <c r="I69" i="4"/>
  <c r="I68" i="4"/>
  <c r="I66" i="4"/>
  <c r="I65" i="4"/>
  <c r="I63" i="4" s="1"/>
  <c r="H28" i="4"/>
  <c r="H27" i="4"/>
  <c r="H26" i="4"/>
  <c r="H21" i="4"/>
  <c r="H20" i="4"/>
  <c r="H18" i="4"/>
  <c r="H17" i="4"/>
  <c r="H15" i="4" s="1"/>
  <c r="J7" i="4"/>
  <c r="J12" i="4" s="1"/>
  <c r="J33" i="4"/>
  <c r="K6" i="4"/>
  <c r="G143" i="4"/>
  <c r="G131" i="4"/>
  <c r="G132" i="4" s="1"/>
  <c r="H172" i="4"/>
  <c r="H171" i="4"/>
  <c r="H170" i="4"/>
  <c r="H165" i="4"/>
  <c r="H164" i="4"/>
  <c r="H162" i="4"/>
  <c r="H161" i="4"/>
  <c r="I126" i="4"/>
  <c r="I127" i="4"/>
  <c r="I109" i="4"/>
  <c r="J129" i="4"/>
  <c r="J108" i="4"/>
  <c r="K102" i="4"/>
  <c r="K103" i="4" s="1"/>
  <c r="G191" i="4"/>
  <c r="G179" i="4"/>
  <c r="G180" i="4" s="1"/>
  <c r="L54" i="4"/>
  <c r="L55" i="4" s="1"/>
  <c r="K81" i="4"/>
  <c r="K60" i="4"/>
  <c r="E11" i="3"/>
  <c r="AJ38" i="1"/>
  <c r="R90" i="1"/>
  <c r="R149" i="1"/>
  <c r="Q91" i="1"/>
  <c r="Q132" i="1"/>
  <c r="R132" i="1" s="1"/>
  <c r="Q111" i="1"/>
  <c r="S112" i="1" s="1"/>
  <c r="R111" i="1"/>
  <c r="H169" i="1"/>
  <c r="I170" i="1"/>
  <c r="R150" i="1"/>
  <c r="S151" i="1"/>
  <c r="H91" i="1"/>
  <c r="I92" i="1"/>
  <c r="N152" i="1"/>
  <c r="H150" i="1"/>
  <c r="I151" i="1"/>
  <c r="O170" i="1"/>
  <c r="P170" i="1"/>
  <c r="AJ39" i="1" s="1"/>
  <c r="R91" i="1"/>
  <c r="S92" i="1"/>
  <c r="O133" i="1"/>
  <c r="S169" i="1"/>
  <c r="AL37" i="1" s="1"/>
  <c r="R168" i="1"/>
  <c r="AK36" i="1" s="1"/>
  <c r="P72" i="1"/>
  <c r="AJ26" i="1" s="1"/>
  <c r="O72" i="1"/>
  <c r="Y25" i="1" s="1"/>
  <c r="N113" i="1"/>
  <c r="I112" i="1"/>
  <c r="S170" i="1"/>
  <c r="O92" i="1"/>
  <c r="P92" i="1"/>
  <c r="F92" i="1"/>
  <c r="G92" i="1" s="1"/>
  <c r="S132" i="1"/>
  <c r="AL38" i="1" s="1"/>
  <c r="R131" i="1"/>
  <c r="Q71" i="1"/>
  <c r="O151" i="1"/>
  <c r="P151" i="1"/>
  <c r="F151" i="1"/>
  <c r="G151" i="1" s="1"/>
  <c r="N171" i="1"/>
  <c r="Y37" i="1"/>
  <c r="N73" i="1"/>
  <c r="O112" i="1"/>
  <c r="P112" i="1"/>
  <c r="N93" i="1"/>
  <c r="E93" i="1"/>
  <c r="J61" i="6" l="1"/>
  <c r="J79" i="6"/>
  <c r="J80" i="6" s="1"/>
  <c r="J78" i="6"/>
  <c r="R34" i="1"/>
  <c r="S35" i="1"/>
  <c r="G71" i="1"/>
  <c r="X24" i="1"/>
  <c r="I130" i="1"/>
  <c r="AH36" i="1" s="1"/>
  <c r="H129" i="1"/>
  <c r="AG35" i="1" s="1"/>
  <c r="S54" i="1"/>
  <c r="R53" i="1"/>
  <c r="F14" i="1"/>
  <c r="X14" i="1" s="1"/>
  <c r="AF14" i="1" s="1"/>
  <c r="AE14" i="1"/>
  <c r="AF12" i="1"/>
  <c r="Z12" i="1"/>
  <c r="AA13" i="1" s="1"/>
  <c r="AI13" i="1" s="1"/>
  <c r="M114" i="1"/>
  <c r="M173" i="1" s="1"/>
  <c r="N55" i="1"/>
  <c r="M56" i="1"/>
  <c r="D55" i="1"/>
  <c r="R13" i="1"/>
  <c r="AK13" i="1" s="1"/>
  <c r="S14" i="1"/>
  <c r="AL14" i="1" s="1"/>
  <c r="F131" i="1"/>
  <c r="AE37" i="1"/>
  <c r="P15" i="1"/>
  <c r="AJ16" i="1" s="1"/>
  <c r="O15" i="1"/>
  <c r="Y15" i="1" s="1"/>
  <c r="K55" i="6"/>
  <c r="K81" i="6"/>
  <c r="K60" i="6"/>
  <c r="L54" i="6"/>
  <c r="D171" i="1"/>
  <c r="E171" i="1" s="1"/>
  <c r="E112" i="1"/>
  <c r="F112" i="1" s="1"/>
  <c r="G112" i="1" s="1"/>
  <c r="I35" i="1"/>
  <c r="H34" i="1"/>
  <c r="R14" i="1"/>
  <c r="AK14" i="1" s="1"/>
  <c r="S15" i="1"/>
  <c r="AL15" i="1" s="1"/>
  <c r="D132" i="1"/>
  <c r="E132" i="1" s="1"/>
  <c r="E73" i="1"/>
  <c r="I13" i="1"/>
  <c r="AH13" i="1" s="1"/>
  <c r="H12" i="1"/>
  <c r="AG12" i="1" s="1"/>
  <c r="E54" i="1"/>
  <c r="D113" i="1"/>
  <c r="M95" i="1"/>
  <c r="M154" i="1" s="1"/>
  <c r="N36" i="1"/>
  <c r="D36" i="1"/>
  <c r="M37" i="1"/>
  <c r="H83" i="4"/>
  <c r="H84" i="4" s="1"/>
  <c r="E92" i="4" s="1"/>
  <c r="E93" i="4" s="1"/>
  <c r="F159" i="5"/>
  <c r="H63" i="5"/>
  <c r="H95" i="5" s="1"/>
  <c r="H95" i="6"/>
  <c r="H83" i="6"/>
  <c r="H84" i="6" s="1"/>
  <c r="E92" i="6" s="1"/>
  <c r="E93" i="6" s="1"/>
  <c r="D16" i="1"/>
  <c r="M75" i="1"/>
  <c r="M134" i="1" s="1"/>
  <c r="N134" i="1" s="1"/>
  <c r="P134" i="1" s="1"/>
  <c r="M17" i="1"/>
  <c r="N16" i="1"/>
  <c r="F53" i="1"/>
  <c r="G53" i="1"/>
  <c r="H52" i="1"/>
  <c r="I53" i="1"/>
  <c r="I14" i="1"/>
  <c r="AH14" i="1" s="1"/>
  <c r="H13" i="1"/>
  <c r="AG13" i="1" s="1"/>
  <c r="Z14" i="1"/>
  <c r="AA15" i="1" s="1"/>
  <c r="AI15" i="1" s="1"/>
  <c r="I75" i="6"/>
  <c r="I66" i="6"/>
  <c r="I74" i="6"/>
  <c r="I65" i="6"/>
  <c r="I69" i="6"/>
  <c r="I76" i="6"/>
  <c r="I68" i="6"/>
  <c r="O54" i="1"/>
  <c r="P54" i="1"/>
  <c r="Q54" i="1" s="1"/>
  <c r="O35" i="1"/>
  <c r="Q35" i="1" s="1"/>
  <c r="P35" i="1"/>
  <c r="G130" i="1"/>
  <c r="X36" i="1"/>
  <c r="H159" i="4"/>
  <c r="H111" i="4"/>
  <c r="I15" i="5"/>
  <c r="G111" i="5"/>
  <c r="G131" i="5" s="1"/>
  <c r="G132" i="5" s="1"/>
  <c r="D74" i="1"/>
  <c r="E15" i="1"/>
  <c r="E35" i="1"/>
  <c r="D94" i="1"/>
  <c r="D153" i="1" s="1"/>
  <c r="F72" i="1"/>
  <c r="AE25" i="1"/>
  <c r="J151" i="4"/>
  <c r="J156" i="4" s="1"/>
  <c r="J177" i="4"/>
  <c r="K150" i="4"/>
  <c r="H175" i="6"/>
  <c r="H176" i="6" s="1"/>
  <c r="H174" i="6"/>
  <c r="H157" i="6"/>
  <c r="I127" i="6"/>
  <c r="I128" i="6" s="1"/>
  <c r="I126" i="6"/>
  <c r="I109" i="6"/>
  <c r="J47" i="6"/>
  <c r="J35" i="6"/>
  <c r="J36" i="6" s="1"/>
  <c r="M33" i="6"/>
  <c r="N6" i="6"/>
  <c r="M7" i="6"/>
  <c r="M12" i="6" s="1"/>
  <c r="L13" i="6"/>
  <c r="L31" i="6"/>
  <c r="L32" i="6" s="1"/>
  <c r="L30" i="6"/>
  <c r="H128" i="6"/>
  <c r="I156" i="6"/>
  <c r="I177" i="6"/>
  <c r="J150" i="6"/>
  <c r="J151" i="6" s="1"/>
  <c r="G143" i="6"/>
  <c r="G131" i="6"/>
  <c r="G132" i="6" s="1"/>
  <c r="K102" i="6"/>
  <c r="K103" i="6" s="1"/>
  <c r="J129" i="6"/>
  <c r="J108" i="6"/>
  <c r="F159" i="6"/>
  <c r="H124" i="6"/>
  <c r="H123" i="6"/>
  <c r="H122" i="6"/>
  <c r="H117" i="6"/>
  <c r="H116" i="6"/>
  <c r="H114" i="6"/>
  <c r="H113" i="6"/>
  <c r="H111" i="6" s="1"/>
  <c r="K28" i="6"/>
  <c r="K27" i="6"/>
  <c r="K26" i="6"/>
  <c r="K21" i="6"/>
  <c r="K20" i="6"/>
  <c r="K18" i="6"/>
  <c r="K17" i="6"/>
  <c r="K15" i="6" s="1"/>
  <c r="G172" i="6"/>
  <c r="G171" i="6"/>
  <c r="G170" i="6"/>
  <c r="G165" i="6"/>
  <c r="G164" i="6"/>
  <c r="G162" i="6"/>
  <c r="G161" i="6"/>
  <c r="H175" i="5"/>
  <c r="H176" i="5" s="1"/>
  <c r="H174" i="5"/>
  <c r="H157" i="5"/>
  <c r="J79" i="5"/>
  <c r="J80" i="5" s="1"/>
  <c r="J78" i="5"/>
  <c r="J61" i="5"/>
  <c r="F191" i="5"/>
  <c r="F179" i="5"/>
  <c r="F180" i="5" s="1"/>
  <c r="I127" i="5"/>
  <c r="I128" i="5" s="1"/>
  <c r="I126" i="5"/>
  <c r="I109" i="5"/>
  <c r="L54" i="5"/>
  <c r="L55" i="5" s="1"/>
  <c r="K81" i="5"/>
  <c r="K60" i="5"/>
  <c r="E191" i="5"/>
  <c r="E179" i="5"/>
  <c r="E180" i="5" s="1"/>
  <c r="D188" i="5" s="1"/>
  <c r="D189" i="5" s="1"/>
  <c r="L33" i="5"/>
  <c r="M6" i="5"/>
  <c r="L7" i="5"/>
  <c r="L12" i="5" s="1"/>
  <c r="K31" i="5"/>
  <c r="K32" i="5" s="1"/>
  <c r="K30" i="5"/>
  <c r="K13" i="5"/>
  <c r="J28" i="5"/>
  <c r="J27" i="5"/>
  <c r="J26" i="5"/>
  <c r="J21" i="5"/>
  <c r="J20" i="5"/>
  <c r="J18" i="5"/>
  <c r="J17" i="5"/>
  <c r="J15" i="5" s="1"/>
  <c r="G143" i="5"/>
  <c r="I47" i="5"/>
  <c r="I35" i="5"/>
  <c r="I36" i="5" s="1"/>
  <c r="J129" i="5"/>
  <c r="K102" i="5"/>
  <c r="K103" i="5" s="1"/>
  <c r="J108" i="5"/>
  <c r="H124" i="5"/>
  <c r="H122" i="5"/>
  <c r="H117" i="5"/>
  <c r="H116" i="5"/>
  <c r="H114" i="5"/>
  <c r="H113" i="5"/>
  <c r="H111" i="5" s="1"/>
  <c r="H123" i="5"/>
  <c r="I177" i="5"/>
  <c r="J150" i="5"/>
  <c r="J151" i="5" s="1"/>
  <c r="I156" i="5"/>
  <c r="I76" i="5"/>
  <c r="I75" i="5"/>
  <c r="I74" i="5"/>
  <c r="I69" i="5"/>
  <c r="I68" i="5"/>
  <c r="I66" i="5"/>
  <c r="I65" i="5"/>
  <c r="G172" i="5"/>
  <c r="G171" i="5"/>
  <c r="G170" i="5"/>
  <c r="G165" i="5"/>
  <c r="G164" i="5"/>
  <c r="G162" i="5"/>
  <c r="G161" i="5"/>
  <c r="G159" i="5" s="1"/>
  <c r="J13" i="4"/>
  <c r="J31" i="4"/>
  <c r="J32" i="4" s="1"/>
  <c r="J30" i="4"/>
  <c r="K79" i="4"/>
  <c r="K78" i="4"/>
  <c r="K61" i="4"/>
  <c r="J175" i="4"/>
  <c r="J176" i="4" s="1"/>
  <c r="J174" i="4"/>
  <c r="J157" i="4"/>
  <c r="K33" i="4"/>
  <c r="L6" i="4"/>
  <c r="K7" i="4"/>
  <c r="K12" i="4" s="1"/>
  <c r="H35" i="4"/>
  <c r="H36" i="4" s="1"/>
  <c r="E44" i="4" s="1"/>
  <c r="E45" i="4" s="1"/>
  <c r="H47" i="4"/>
  <c r="I164" i="4"/>
  <c r="I162" i="4"/>
  <c r="I161" i="4"/>
  <c r="I159" i="4" s="1"/>
  <c r="I172" i="4"/>
  <c r="I170" i="4"/>
  <c r="I165" i="4"/>
  <c r="I171" i="4"/>
  <c r="H143" i="4"/>
  <c r="H131" i="4"/>
  <c r="H132" i="4" s="1"/>
  <c r="E140" i="4" s="1"/>
  <c r="E141" i="4" s="1"/>
  <c r="J80" i="4"/>
  <c r="L81" i="4"/>
  <c r="L60" i="4"/>
  <c r="M54" i="4"/>
  <c r="M55" i="4" s="1"/>
  <c r="K129" i="4"/>
  <c r="L102" i="4"/>
  <c r="L103" i="4" s="1"/>
  <c r="K108" i="4"/>
  <c r="J127" i="4"/>
  <c r="J128" i="4" s="1"/>
  <c r="J126" i="4"/>
  <c r="J109" i="4"/>
  <c r="I123" i="4"/>
  <c r="I124" i="4"/>
  <c r="I122" i="4"/>
  <c r="I117" i="4"/>
  <c r="I116" i="4"/>
  <c r="I114" i="4"/>
  <c r="I113" i="4"/>
  <c r="I111" i="4" s="1"/>
  <c r="I128" i="4"/>
  <c r="H191" i="4"/>
  <c r="H179" i="4"/>
  <c r="H180" i="4" s="1"/>
  <c r="E188" i="4" s="1"/>
  <c r="E189" i="4" s="1"/>
  <c r="I95" i="4"/>
  <c r="I83" i="4"/>
  <c r="I84" i="4" s="1"/>
  <c r="I28" i="4"/>
  <c r="I27" i="4"/>
  <c r="I26" i="4"/>
  <c r="I21" i="4"/>
  <c r="I20" i="4"/>
  <c r="I18" i="4"/>
  <c r="I17" i="4"/>
  <c r="I15" i="4" s="1"/>
  <c r="J76" i="4"/>
  <c r="J75" i="4"/>
  <c r="J74" i="4"/>
  <c r="J69" i="4"/>
  <c r="J68" i="4"/>
  <c r="J66" i="4"/>
  <c r="J65" i="4"/>
  <c r="J63" i="4" s="1"/>
  <c r="G11" i="3"/>
  <c r="S133" i="1"/>
  <c r="Q92" i="1"/>
  <c r="S93" i="1" s="1"/>
  <c r="Q170" i="1"/>
  <c r="R170" i="1" s="1"/>
  <c r="Q151" i="1"/>
  <c r="S152" i="1" s="1"/>
  <c r="Q112" i="1"/>
  <c r="R112" i="1" s="1"/>
  <c r="I152" i="1"/>
  <c r="H151" i="1"/>
  <c r="I93" i="1"/>
  <c r="H92" i="1"/>
  <c r="R151" i="1"/>
  <c r="R92" i="1"/>
  <c r="S113" i="1"/>
  <c r="S171" i="1"/>
  <c r="P93" i="1"/>
  <c r="O93" i="1"/>
  <c r="I113" i="1"/>
  <c r="H112" i="1"/>
  <c r="O73" i="1"/>
  <c r="Y26" i="1" s="1"/>
  <c r="P73" i="1"/>
  <c r="AJ27" i="1" s="1"/>
  <c r="F171" i="1"/>
  <c r="G171" i="1" s="1"/>
  <c r="N172" i="1"/>
  <c r="P113" i="1"/>
  <c r="O113" i="1"/>
  <c r="Q133" i="1"/>
  <c r="I171" i="1"/>
  <c r="H170" i="1"/>
  <c r="F152" i="1"/>
  <c r="E153" i="1"/>
  <c r="N153" i="1"/>
  <c r="Y38" i="1"/>
  <c r="F93" i="1"/>
  <c r="G93" i="1" s="1"/>
  <c r="E94" i="1"/>
  <c r="N94" i="1"/>
  <c r="N74" i="1"/>
  <c r="P171" i="1"/>
  <c r="O171" i="1"/>
  <c r="Q171" i="1" s="1"/>
  <c r="S72" i="1"/>
  <c r="AL25" i="1" s="1"/>
  <c r="R71" i="1"/>
  <c r="AK24" i="1" s="1"/>
  <c r="AK37" i="1"/>
  <c r="N114" i="1"/>
  <c r="Q72" i="1"/>
  <c r="P152" i="1"/>
  <c r="O152" i="1"/>
  <c r="Q152" i="1" s="1"/>
  <c r="S36" i="1" l="1"/>
  <c r="R35" i="1"/>
  <c r="H83" i="5"/>
  <c r="H84" i="5" s="1"/>
  <c r="E92" i="5" s="1"/>
  <c r="E93" i="5" s="1"/>
  <c r="F35" i="1"/>
  <c r="G35" i="1" s="1"/>
  <c r="AF36" i="1"/>
  <c r="Z36" i="1"/>
  <c r="AA37" i="1" s="1"/>
  <c r="AI37" i="1" s="1"/>
  <c r="D75" i="1"/>
  <c r="E16" i="1"/>
  <c r="P36" i="1"/>
  <c r="O36" i="1"/>
  <c r="Q36" i="1"/>
  <c r="P55" i="1"/>
  <c r="O55" i="1"/>
  <c r="Q55" i="1"/>
  <c r="H71" i="1"/>
  <c r="AG24" i="1" s="1"/>
  <c r="I72" i="1"/>
  <c r="AH25" i="1" s="1"/>
  <c r="H53" i="1"/>
  <c r="I54" i="1"/>
  <c r="F54" i="1"/>
  <c r="G54" i="1" s="1"/>
  <c r="K78" i="6"/>
  <c r="K61" i="6"/>
  <c r="K79" i="6"/>
  <c r="K80" i="6" s="1"/>
  <c r="G131" i="1"/>
  <c r="X37" i="1"/>
  <c r="Z24" i="1"/>
  <c r="AA25" i="1" s="1"/>
  <c r="AI25" i="1" s="1"/>
  <c r="AF24" i="1"/>
  <c r="O134" i="1"/>
  <c r="G159" i="6"/>
  <c r="F15" i="1"/>
  <c r="X15" i="1" s="1"/>
  <c r="AF15" i="1" s="1"/>
  <c r="G15" i="1"/>
  <c r="AE15" i="1"/>
  <c r="I131" i="1"/>
  <c r="AH37" i="1" s="1"/>
  <c r="H130" i="1"/>
  <c r="AG36" i="1" s="1"/>
  <c r="R54" i="1"/>
  <c r="S55" i="1"/>
  <c r="P16" i="1"/>
  <c r="AJ17" i="1" s="1"/>
  <c r="O16" i="1"/>
  <c r="Y16" i="1" s="1"/>
  <c r="E36" i="1"/>
  <c r="D95" i="1"/>
  <c r="D154" i="1" s="1"/>
  <c r="F132" i="1"/>
  <c r="AE38" i="1"/>
  <c r="M115" i="1"/>
  <c r="M174" i="1" s="1"/>
  <c r="D56" i="1"/>
  <c r="N56" i="1"/>
  <c r="AJ40" i="1"/>
  <c r="I63" i="5"/>
  <c r="I95" i="5" s="1"/>
  <c r="K151" i="4"/>
  <c r="K156" i="4" s="1"/>
  <c r="K177" i="4"/>
  <c r="L150" i="4"/>
  <c r="X25" i="1"/>
  <c r="G72" i="1"/>
  <c r="D133" i="1"/>
  <c r="E133" i="1" s="1"/>
  <c r="E74" i="1"/>
  <c r="I63" i="6"/>
  <c r="M76" i="1"/>
  <c r="M135" i="1" s="1"/>
  <c r="N135" i="1" s="1"/>
  <c r="D17" i="1"/>
  <c r="M18" i="1"/>
  <c r="N17" i="1"/>
  <c r="M96" i="1"/>
  <c r="M155" i="1" s="1"/>
  <c r="N37" i="1"/>
  <c r="D37" i="1"/>
  <c r="D172" i="1"/>
  <c r="E172" i="1" s="1"/>
  <c r="E113" i="1"/>
  <c r="F113" i="1" s="1"/>
  <c r="G113" i="1" s="1"/>
  <c r="AE26" i="1"/>
  <c r="F73" i="1"/>
  <c r="L55" i="6"/>
  <c r="L81" i="6"/>
  <c r="L60" i="6"/>
  <c r="M54" i="6"/>
  <c r="Q15" i="1"/>
  <c r="E55" i="1"/>
  <c r="D114" i="1"/>
  <c r="G14" i="1"/>
  <c r="J75" i="6"/>
  <c r="J66" i="6"/>
  <c r="J74" i="6"/>
  <c r="J65" i="6"/>
  <c r="J63" i="6" s="1"/>
  <c r="J69" i="6"/>
  <c r="J76" i="6"/>
  <c r="J68" i="6"/>
  <c r="K80" i="4"/>
  <c r="I157" i="6"/>
  <c r="I175" i="6"/>
  <c r="I176" i="6" s="1"/>
  <c r="I174" i="6"/>
  <c r="K47" i="6"/>
  <c r="K35" i="6"/>
  <c r="K36" i="6" s="1"/>
  <c r="F44" i="6" s="1"/>
  <c r="F45" i="6" s="1"/>
  <c r="F191" i="6"/>
  <c r="F179" i="6"/>
  <c r="F180" i="6" s="1"/>
  <c r="J177" i="6"/>
  <c r="K150" i="6"/>
  <c r="K151" i="6" s="1"/>
  <c r="J156" i="6"/>
  <c r="M31" i="6"/>
  <c r="M32" i="6" s="1"/>
  <c r="M30" i="6"/>
  <c r="M13" i="6"/>
  <c r="G191" i="6"/>
  <c r="G179" i="6"/>
  <c r="G180" i="6" s="1"/>
  <c r="H131" i="6"/>
  <c r="H132" i="6" s="1"/>
  <c r="E140" i="6" s="1"/>
  <c r="E141" i="6" s="1"/>
  <c r="H143" i="6"/>
  <c r="J127" i="6"/>
  <c r="J109" i="6"/>
  <c r="J126" i="6"/>
  <c r="K129" i="6"/>
  <c r="K108" i="6"/>
  <c r="L102" i="6"/>
  <c r="L103" i="6" s="1"/>
  <c r="L20" i="6"/>
  <c r="L18" i="6"/>
  <c r="L17" i="6"/>
  <c r="L28" i="6"/>
  <c r="L27" i="6"/>
  <c r="L26" i="6"/>
  <c r="L21" i="6"/>
  <c r="N7" i="6"/>
  <c r="N12" i="6" s="1"/>
  <c r="N33" i="6"/>
  <c r="I124" i="6"/>
  <c r="I123" i="6"/>
  <c r="I122" i="6"/>
  <c r="I117" i="6"/>
  <c r="I116" i="6"/>
  <c r="I114" i="6"/>
  <c r="I113" i="6"/>
  <c r="I111" i="6" s="1"/>
  <c r="H172" i="6"/>
  <c r="H171" i="6"/>
  <c r="H170" i="6"/>
  <c r="H165" i="6"/>
  <c r="H164" i="6"/>
  <c r="H162" i="6"/>
  <c r="H161" i="6"/>
  <c r="H159" i="6" s="1"/>
  <c r="I175" i="5"/>
  <c r="I176" i="5" s="1"/>
  <c r="I174" i="5"/>
  <c r="I157" i="5"/>
  <c r="K129" i="5"/>
  <c r="K108" i="5"/>
  <c r="L102" i="5"/>
  <c r="L103" i="5" s="1"/>
  <c r="J47" i="5"/>
  <c r="J35" i="5"/>
  <c r="J36" i="5" s="1"/>
  <c r="L31" i="5"/>
  <c r="L32" i="5" s="1"/>
  <c r="L30" i="5"/>
  <c r="L13" i="5"/>
  <c r="K79" i="5"/>
  <c r="K78" i="5"/>
  <c r="K61" i="5"/>
  <c r="L81" i="5"/>
  <c r="L60" i="5"/>
  <c r="M54" i="5"/>
  <c r="M55" i="5" s="1"/>
  <c r="I124" i="5"/>
  <c r="I123" i="5"/>
  <c r="I122" i="5"/>
  <c r="I117" i="5"/>
  <c r="I116" i="5"/>
  <c r="I114" i="5"/>
  <c r="I113" i="5"/>
  <c r="I111" i="5" s="1"/>
  <c r="G191" i="5"/>
  <c r="G179" i="5"/>
  <c r="G180" i="5" s="1"/>
  <c r="J156" i="5"/>
  <c r="J177" i="5"/>
  <c r="K150" i="5"/>
  <c r="K151" i="5" s="1"/>
  <c r="H143" i="5"/>
  <c r="H131" i="5"/>
  <c r="H132" i="5" s="1"/>
  <c r="E140" i="5" s="1"/>
  <c r="E141" i="5" s="1"/>
  <c r="J127" i="5"/>
  <c r="J126" i="5"/>
  <c r="J109" i="5"/>
  <c r="K28" i="5"/>
  <c r="K27" i="5"/>
  <c r="K26" i="5"/>
  <c r="K21" i="5"/>
  <c r="K20" i="5"/>
  <c r="K18" i="5"/>
  <c r="K17" i="5"/>
  <c r="K15" i="5" s="1"/>
  <c r="M33" i="5"/>
  <c r="M7" i="5"/>
  <c r="M12" i="5" s="1"/>
  <c r="N6" i="5"/>
  <c r="J76" i="5"/>
  <c r="J75" i="5"/>
  <c r="J74" i="5"/>
  <c r="J69" i="5"/>
  <c r="J68" i="5"/>
  <c r="J66" i="5"/>
  <c r="J65" i="5"/>
  <c r="H172" i="5"/>
  <c r="H171" i="5"/>
  <c r="H170" i="5"/>
  <c r="H165" i="5"/>
  <c r="H164" i="5"/>
  <c r="H162" i="5"/>
  <c r="H161" i="5"/>
  <c r="J95" i="4"/>
  <c r="J83" i="4"/>
  <c r="J84" i="4" s="1"/>
  <c r="J124" i="4"/>
  <c r="J123" i="4"/>
  <c r="J122" i="4"/>
  <c r="J117" i="4"/>
  <c r="J116" i="4"/>
  <c r="J114" i="4"/>
  <c r="J113" i="4"/>
  <c r="K127" i="4"/>
  <c r="K126" i="4"/>
  <c r="K109" i="4"/>
  <c r="N54" i="4"/>
  <c r="N55" i="4" s="1"/>
  <c r="M81" i="4"/>
  <c r="M60" i="4"/>
  <c r="L79" i="4"/>
  <c r="L78" i="4"/>
  <c r="L61" i="4"/>
  <c r="I191" i="4"/>
  <c r="I179" i="4"/>
  <c r="I180" i="4" s="1"/>
  <c r="K31" i="4"/>
  <c r="K32" i="4" s="1"/>
  <c r="K30" i="4"/>
  <c r="K13" i="4"/>
  <c r="K76" i="4"/>
  <c r="K75" i="4"/>
  <c r="K74" i="4"/>
  <c r="K69" i="4"/>
  <c r="K68" i="4"/>
  <c r="K66" i="4"/>
  <c r="K65" i="4"/>
  <c r="I47" i="4"/>
  <c r="I35" i="4"/>
  <c r="I36" i="4" s="1"/>
  <c r="I143" i="4"/>
  <c r="I131" i="4"/>
  <c r="I132" i="4" s="1"/>
  <c r="L129" i="4"/>
  <c r="L108" i="4"/>
  <c r="M102" i="4"/>
  <c r="M103" i="4" s="1"/>
  <c r="K175" i="4"/>
  <c r="K176" i="4" s="1"/>
  <c r="K174" i="4"/>
  <c r="K157" i="4"/>
  <c r="L33" i="4"/>
  <c r="L7" i="4"/>
  <c r="L12" i="4" s="1"/>
  <c r="M6" i="4"/>
  <c r="J172" i="4"/>
  <c r="J171" i="4"/>
  <c r="J170" i="4"/>
  <c r="J165" i="4"/>
  <c r="J164" i="4"/>
  <c r="J161" i="4"/>
  <c r="J162" i="4"/>
  <c r="J20" i="4"/>
  <c r="J18" i="4"/>
  <c r="J17" i="4"/>
  <c r="J28" i="4"/>
  <c r="J27" i="4"/>
  <c r="J26" i="4"/>
  <c r="J21" i="4"/>
  <c r="H11" i="3"/>
  <c r="D12" i="3" s="1"/>
  <c r="AK38" i="1"/>
  <c r="AL39" i="1"/>
  <c r="Q93" i="1"/>
  <c r="R93" i="1" s="1"/>
  <c r="Y39" i="1"/>
  <c r="Q113" i="1"/>
  <c r="R113" i="1" s="1"/>
  <c r="Q134" i="1"/>
  <c r="S135" i="1" s="1"/>
  <c r="S114" i="1"/>
  <c r="H113" i="1"/>
  <c r="I114" i="1"/>
  <c r="R152" i="1"/>
  <c r="S153" i="1"/>
  <c r="O114" i="1"/>
  <c r="P114" i="1"/>
  <c r="R171" i="1"/>
  <c r="S172" i="1"/>
  <c r="N75" i="1"/>
  <c r="N95" i="1"/>
  <c r="E95" i="1"/>
  <c r="H93" i="1"/>
  <c r="I94" i="1"/>
  <c r="O153" i="1"/>
  <c r="P153" i="1"/>
  <c r="F153" i="1"/>
  <c r="G153" i="1" s="1"/>
  <c r="N173" i="1"/>
  <c r="H171" i="1"/>
  <c r="I172" i="1"/>
  <c r="R134" i="1"/>
  <c r="S94" i="1"/>
  <c r="R72" i="1"/>
  <c r="AK25" i="1" s="1"/>
  <c r="S73" i="1"/>
  <c r="AL26" i="1" s="1"/>
  <c r="O135" i="1"/>
  <c r="P135" i="1"/>
  <c r="P74" i="1"/>
  <c r="AJ28" i="1" s="1"/>
  <c r="O74" i="1"/>
  <c r="Y27" i="1" s="1"/>
  <c r="O94" i="1"/>
  <c r="P94" i="1"/>
  <c r="F94" i="1"/>
  <c r="G94" i="1" s="1"/>
  <c r="N154" i="1"/>
  <c r="E154" i="1"/>
  <c r="G152" i="1"/>
  <c r="S134" i="1"/>
  <c r="R133" i="1"/>
  <c r="O172" i="1"/>
  <c r="P172" i="1"/>
  <c r="F172" i="1"/>
  <c r="G172" i="1" s="1"/>
  <c r="Q73" i="1"/>
  <c r="I55" i="1" l="1"/>
  <c r="H54" i="1"/>
  <c r="H35" i="1"/>
  <c r="I36" i="1"/>
  <c r="I15" i="1"/>
  <c r="AH15" i="1" s="1"/>
  <c r="H14" i="1"/>
  <c r="AG14" i="1" s="1"/>
  <c r="E37" i="1"/>
  <c r="D96" i="1"/>
  <c r="D155" i="1" s="1"/>
  <c r="E155" i="1" s="1"/>
  <c r="AF25" i="1"/>
  <c r="Z25" i="1"/>
  <c r="I16" i="1"/>
  <c r="AH16" i="1" s="1"/>
  <c r="H15" i="1"/>
  <c r="AG15" i="1" s="1"/>
  <c r="D134" i="1"/>
  <c r="E134" i="1" s="1"/>
  <c r="E75" i="1"/>
  <c r="D173" i="1"/>
  <c r="E173" i="1" s="1"/>
  <c r="E114" i="1"/>
  <c r="F114" i="1" s="1"/>
  <c r="G114" i="1" s="1"/>
  <c r="H114" i="1" s="1"/>
  <c r="L79" i="6"/>
  <c r="L80" i="6" s="1"/>
  <c r="L61" i="6"/>
  <c r="L78" i="6"/>
  <c r="O37" i="1"/>
  <c r="Q37" i="1" s="1"/>
  <c r="P37" i="1"/>
  <c r="E17" i="1"/>
  <c r="D76" i="1"/>
  <c r="AE27" i="1"/>
  <c r="F74" i="1"/>
  <c r="X27" i="1" s="1"/>
  <c r="AF27" i="1" s="1"/>
  <c r="G74" i="1"/>
  <c r="L151" i="4"/>
  <c r="L156" i="4" s="1"/>
  <c r="L157" i="4" s="1"/>
  <c r="M150" i="4"/>
  <c r="L177" i="4"/>
  <c r="K75" i="6"/>
  <c r="K66" i="6"/>
  <c r="K74" i="6"/>
  <c r="K65" i="6"/>
  <c r="K76" i="6"/>
  <c r="K68" i="6"/>
  <c r="K69" i="6"/>
  <c r="R55" i="1"/>
  <c r="S56" i="1"/>
  <c r="M55" i="6"/>
  <c r="M60" i="6"/>
  <c r="N54" i="6"/>
  <c r="M81" i="6"/>
  <c r="I95" i="6"/>
  <c r="I83" i="6"/>
  <c r="I84" i="6" s="1"/>
  <c r="E56" i="1"/>
  <c r="D115" i="1"/>
  <c r="Y40" i="1"/>
  <c r="J111" i="4"/>
  <c r="J63" i="5"/>
  <c r="J95" i="5" s="1"/>
  <c r="I83" i="5"/>
  <c r="I84" i="5" s="1"/>
  <c r="L15" i="6"/>
  <c r="F55" i="1"/>
  <c r="G55" i="1"/>
  <c r="F133" i="1"/>
  <c r="X39" i="1" s="1"/>
  <c r="AF39" i="1" s="1"/>
  <c r="AE39" i="1"/>
  <c r="G133" i="1"/>
  <c r="Z15" i="1"/>
  <c r="F36" i="1"/>
  <c r="G36" i="1"/>
  <c r="AF37" i="1"/>
  <c r="Z37" i="1"/>
  <c r="Z27" i="1"/>
  <c r="J95" i="6"/>
  <c r="J83" i="6"/>
  <c r="J84" i="6" s="1"/>
  <c r="G73" i="1"/>
  <c r="X26" i="1"/>
  <c r="N18" i="1"/>
  <c r="M77" i="1"/>
  <c r="M136" i="1" s="1"/>
  <c r="N136" i="1" s="1"/>
  <c r="P136" i="1" s="1"/>
  <c r="D18" i="1"/>
  <c r="G132" i="1"/>
  <c r="X38" i="1"/>
  <c r="S37" i="1"/>
  <c r="R36" i="1"/>
  <c r="J15" i="4"/>
  <c r="K63" i="4"/>
  <c r="K83" i="4" s="1"/>
  <c r="K84" i="4" s="1"/>
  <c r="F92" i="4" s="1"/>
  <c r="F93" i="4" s="1"/>
  <c r="H159" i="5"/>
  <c r="H191" i="5" s="1"/>
  <c r="S16" i="1"/>
  <c r="AL16" i="1" s="1"/>
  <c r="R15" i="1"/>
  <c r="AK15" i="1" s="1"/>
  <c r="P17" i="1"/>
  <c r="AJ18" i="1" s="1"/>
  <c r="AS6" i="1" s="1"/>
  <c r="O17" i="1"/>
  <c r="Y17" i="1" s="1"/>
  <c r="H72" i="1"/>
  <c r="AG25" i="1" s="1"/>
  <c r="I73" i="1"/>
  <c r="AH26" i="1" s="1"/>
  <c r="P56" i="1"/>
  <c r="Q56" i="1" s="1"/>
  <c r="O56" i="1"/>
  <c r="Q16" i="1"/>
  <c r="I132" i="1"/>
  <c r="AH38" i="1" s="1"/>
  <c r="H131" i="1"/>
  <c r="AG37" i="1" s="1"/>
  <c r="F16" i="1"/>
  <c r="AE16" i="1"/>
  <c r="N31" i="6"/>
  <c r="N32" i="6" s="1"/>
  <c r="N30" i="6"/>
  <c r="N13" i="6"/>
  <c r="J175" i="6"/>
  <c r="J176" i="6" s="1"/>
  <c r="J174" i="6"/>
  <c r="J157" i="6"/>
  <c r="I143" i="6"/>
  <c r="I131" i="6"/>
  <c r="I132" i="6" s="1"/>
  <c r="L35" i="6"/>
  <c r="L36" i="6" s="1"/>
  <c r="L47" i="6"/>
  <c r="K127" i="6"/>
  <c r="K128" i="6" s="1"/>
  <c r="K126" i="6"/>
  <c r="K109" i="6"/>
  <c r="H191" i="6"/>
  <c r="H179" i="6"/>
  <c r="H180" i="6" s="1"/>
  <c r="E188" i="6" s="1"/>
  <c r="E189" i="6" s="1"/>
  <c r="L129" i="6"/>
  <c r="M102" i="6"/>
  <c r="M103" i="6" s="1"/>
  <c r="L108" i="6"/>
  <c r="J124" i="6"/>
  <c r="J122" i="6"/>
  <c r="J117" i="6"/>
  <c r="J116" i="6"/>
  <c r="J114" i="6"/>
  <c r="J113" i="6"/>
  <c r="J111" i="6" s="1"/>
  <c r="J123" i="6"/>
  <c r="J128" i="6"/>
  <c r="M28" i="6"/>
  <c r="M27" i="6"/>
  <c r="M26" i="6"/>
  <c r="M21" i="6"/>
  <c r="M20" i="6"/>
  <c r="M18" i="6"/>
  <c r="M17" i="6"/>
  <c r="K177" i="6"/>
  <c r="K156" i="6"/>
  <c r="L150" i="6"/>
  <c r="L151" i="6" s="1"/>
  <c r="I164" i="6"/>
  <c r="I162" i="6"/>
  <c r="I161" i="6"/>
  <c r="I159" i="6" s="1"/>
  <c r="I172" i="6"/>
  <c r="I170" i="6"/>
  <c r="I165" i="6"/>
  <c r="I171" i="6"/>
  <c r="J157" i="5"/>
  <c r="J175" i="5"/>
  <c r="J176" i="5" s="1"/>
  <c r="J174" i="5"/>
  <c r="J83" i="5"/>
  <c r="J84" i="5" s="1"/>
  <c r="N33" i="5"/>
  <c r="N7" i="5"/>
  <c r="N12" i="5" s="1"/>
  <c r="M31" i="5"/>
  <c r="M32" i="5" s="1"/>
  <c r="M30" i="5"/>
  <c r="M13" i="5"/>
  <c r="K47" i="5"/>
  <c r="K35" i="5"/>
  <c r="K36" i="5" s="1"/>
  <c r="F44" i="5" s="1"/>
  <c r="F45" i="5" s="1"/>
  <c r="J124" i="5"/>
  <c r="J123" i="5"/>
  <c r="J122" i="5"/>
  <c r="J117" i="5"/>
  <c r="J116" i="5"/>
  <c r="J114" i="5"/>
  <c r="J113" i="5"/>
  <c r="J111" i="5" s="1"/>
  <c r="K177" i="5"/>
  <c r="L150" i="5"/>
  <c r="L151" i="5" s="1"/>
  <c r="K156" i="5"/>
  <c r="I143" i="5"/>
  <c r="I131" i="5"/>
  <c r="I132" i="5" s="1"/>
  <c r="L79" i="5"/>
  <c r="L80" i="5" s="1"/>
  <c r="L78" i="5"/>
  <c r="L61" i="5"/>
  <c r="K76" i="5"/>
  <c r="K75" i="5"/>
  <c r="K74" i="5"/>
  <c r="K69" i="5"/>
  <c r="K68" i="5"/>
  <c r="K66" i="5"/>
  <c r="K65" i="5"/>
  <c r="L28" i="5"/>
  <c r="L27" i="5"/>
  <c r="L26" i="5"/>
  <c r="L21" i="5"/>
  <c r="L20" i="5"/>
  <c r="L18" i="5"/>
  <c r="L17" i="5"/>
  <c r="M102" i="5"/>
  <c r="M103" i="5" s="1"/>
  <c r="L108" i="5"/>
  <c r="L129" i="5"/>
  <c r="I172" i="5"/>
  <c r="I171" i="5"/>
  <c r="I170" i="5"/>
  <c r="I165" i="5"/>
  <c r="I164" i="5"/>
  <c r="I161" i="5"/>
  <c r="I162" i="5"/>
  <c r="H179" i="5"/>
  <c r="H180" i="5" s="1"/>
  <c r="E188" i="5" s="1"/>
  <c r="E189" i="5" s="1"/>
  <c r="J128" i="5"/>
  <c r="N54" i="5"/>
  <c r="N55" i="5" s="1"/>
  <c r="M81" i="5"/>
  <c r="M60" i="5"/>
  <c r="K80" i="5"/>
  <c r="K127" i="5"/>
  <c r="K128" i="5" s="1"/>
  <c r="K126" i="5"/>
  <c r="K109" i="5"/>
  <c r="L31" i="4"/>
  <c r="L32" i="4" s="1"/>
  <c r="L30" i="4"/>
  <c r="L13" i="4"/>
  <c r="L127" i="4"/>
  <c r="L128" i="4" s="1"/>
  <c r="L126" i="4"/>
  <c r="L109" i="4"/>
  <c r="K95" i="4"/>
  <c r="K28" i="4"/>
  <c r="K27" i="4"/>
  <c r="K26" i="4"/>
  <c r="K21" i="4"/>
  <c r="K20" i="4"/>
  <c r="K18" i="4"/>
  <c r="K17" i="4"/>
  <c r="K15" i="4" s="1"/>
  <c r="L76" i="4"/>
  <c r="L75" i="4"/>
  <c r="L74" i="4"/>
  <c r="L69" i="4"/>
  <c r="L68" i="4"/>
  <c r="L66" i="4"/>
  <c r="L65" i="4"/>
  <c r="L63" i="4" s="1"/>
  <c r="M79" i="4"/>
  <c r="M80" i="4" s="1"/>
  <c r="M78" i="4"/>
  <c r="M61" i="4"/>
  <c r="N81" i="4"/>
  <c r="N60" i="4"/>
  <c r="K128" i="4"/>
  <c r="J47" i="4"/>
  <c r="J35" i="4"/>
  <c r="J36" i="4" s="1"/>
  <c r="J159" i="4"/>
  <c r="M33" i="4"/>
  <c r="N6" i="4"/>
  <c r="M7" i="4"/>
  <c r="M12" i="4" s="1"/>
  <c r="K172" i="4"/>
  <c r="K171" i="4"/>
  <c r="K170" i="4"/>
  <c r="K165" i="4"/>
  <c r="K164" i="4"/>
  <c r="K162" i="4"/>
  <c r="K161" i="4"/>
  <c r="N102" i="4"/>
  <c r="N103" i="4" s="1"/>
  <c r="M129" i="4"/>
  <c r="M108" i="4"/>
  <c r="L174" i="4"/>
  <c r="L80" i="4"/>
  <c r="K124" i="4"/>
  <c r="K123" i="4"/>
  <c r="K122" i="4"/>
  <c r="K117" i="4"/>
  <c r="K116" i="4"/>
  <c r="K114" i="4"/>
  <c r="K113" i="4"/>
  <c r="J143" i="4"/>
  <c r="J131" i="4"/>
  <c r="J132" i="4" s="1"/>
  <c r="E12" i="3"/>
  <c r="AL40" i="1"/>
  <c r="AJ41" i="1"/>
  <c r="Q153" i="1"/>
  <c r="R153" i="1" s="1"/>
  <c r="Q114" i="1"/>
  <c r="R114" i="1" s="1"/>
  <c r="Q94" i="1"/>
  <c r="R94" i="1" s="1"/>
  <c r="Q74" i="1"/>
  <c r="S75" i="1" s="1"/>
  <c r="AL28" i="1" s="1"/>
  <c r="S95" i="1"/>
  <c r="I154" i="1"/>
  <c r="H153" i="1"/>
  <c r="I173" i="1"/>
  <c r="H172" i="1"/>
  <c r="S154" i="1"/>
  <c r="S115" i="1"/>
  <c r="S74" i="1"/>
  <c r="AL27" i="1" s="1"/>
  <c r="R73" i="1"/>
  <c r="AK26" i="1" s="1"/>
  <c r="Q172" i="1"/>
  <c r="F154" i="1"/>
  <c r="G154" i="1" s="1"/>
  <c r="N155" i="1"/>
  <c r="I95" i="1"/>
  <c r="H94" i="1"/>
  <c r="P173" i="1"/>
  <c r="O173" i="1"/>
  <c r="P95" i="1"/>
  <c r="O95" i="1"/>
  <c r="O75" i="1"/>
  <c r="Y28" i="1" s="1"/>
  <c r="P75" i="1"/>
  <c r="AJ29" i="1" s="1"/>
  <c r="I115" i="1"/>
  <c r="AK39" i="1"/>
  <c r="H152" i="1"/>
  <c r="I153" i="1"/>
  <c r="P154" i="1"/>
  <c r="O154" i="1"/>
  <c r="Q135" i="1"/>
  <c r="N115" i="1"/>
  <c r="N163" i="1"/>
  <c r="F173" i="1"/>
  <c r="G173" i="1" s="1"/>
  <c r="N174" i="1"/>
  <c r="F95" i="1"/>
  <c r="G95" i="1" s="1"/>
  <c r="N76" i="1"/>
  <c r="R37" i="1" l="1"/>
  <c r="S38" i="1"/>
  <c r="S57" i="1"/>
  <c r="R56" i="1"/>
  <c r="I56" i="1"/>
  <c r="H55" i="1"/>
  <c r="F56" i="1"/>
  <c r="G56" i="1" s="1"/>
  <c r="N55" i="6"/>
  <c r="N60" i="6"/>
  <c r="N81" i="6"/>
  <c r="D135" i="1"/>
  <c r="E135" i="1" s="1"/>
  <c r="E76" i="1"/>
  <c r="L175" i="4"/>
  <c r="L176" i="4" s="1"/>
  <c r="Y41" i="1"/>
  <c r="O136" i="1"/>
  <c r="I134" i="1"/>
  <c r="H133" i="1"/>
  <c r="AG39" i="1" s="1"/>
  <c r="M78" i="6"/>
  <c r="M61" i="6"/>
  <c r="M79" i="6"/>
  <c r="M80" i="6" s="1"/>
  <c r="H74" i="1"/>
  <c r="AG27" i="1" s="1"/>
  <c r="I75" i="1"/>
  <c r="AH28" i="1" s="1"/>
  <c r="F17" i="1"/>
  <c r="X17" i="1" s="1"/>
  <c r="G17" i="1"/>
  <c r="AE17" i="1"/>
  <c r="F37" i="1"/>
  <c r="G37" i="1"/>
  <c r="K111" i="4"/>
  <c r="K159" i="4"/>
  <c r="K179" i="4" s="1"/>
  <c r="K180" i="4" s="1"/>
  <c r="K63" i="5"/>
  <c r="G16" i="1"/>
  <c r="X16" i="1"/>
  <c r="I133" i="1"/>
  <c r="AH39" i="1" s="1"/>
  <c r="H132" i="1"/>
  <c r="AG38" i="1" s="1"/>
  <c r="Z26" i="1"/>
  <c r="AA27" i="1" s="1"/>
  <c r="AI27" i="1" s="1"/>
  <c r="AF26" i="1"/>
  <c r="I37" i="1"/>
  <c r="H36" i="1"/>
  <c r="K63" i="6"/>
  <c r="L76" i="6"/>
  <c r="L68" i="6"/>
  <c r="L69" i="6"/>
  <c r="L75" i="6"/>
  <c r="L66" i="6"/>
  <c r="L74" i="6"/>
  <c r="L65" i="6"/>
  <c r="F75" i="1"/>
  <c r="AE28" i="1"/>
  <c r="S17" i="1"/>
  <c r="AL17" i="1" s="1"/>
  <c r="R16" i="1"/>
  <c r="AK16" i="1" s="1"/>
  <c r="Z38" i="1"/>
  <c r="AA39" i="1" s="1"/>
  <c r="AI39" i="1" s="1"/>
  <c r="AF38" i="1"/>
  <c r="O18" i="1"/>
  <c r="Y18" i="1" s="1"/>
  <c r="P18" i="1"/>
  <c r="AJ19" i="1" s="1"/>
  <c r="Q18" i="1"/>
  <c r="E96" i="1"/>
  <c r="F96" i="1" s="1"/>
  <c r="G96" i="1" s="1"/>
  <c r="AH40" i="1"/>
  <c r="L15" i="5"/>
  <c r="M15" i="6"/>
  <c r="Q17" i="1"/>
  <c r="D77" i="1"/>
  <c r="E18" i="1"/>
  <c r="H73" i="1"/>
  <c r="AG26" i="1" s="1"/>
  <c r="I74" i="1"/>
  <c r="AH27" i="1" s="1"/>
  <c r="D174" i="1"/>
  <c r="E174" i="1" s="1"/>
  <c r="E115" i="1"/>
  <c r="F115" i="1" s="1"/>
  <c r="G115" i="1" s="1"/>
  <c r="Z39" i="1"/>
  <c r="M151" i="4"/>
  <c r="M156" i="4" s="1"/>
  <c r="M175" i="4" s="1"/>
  <c r="M176" i="4" s="1"/>
  <c r="M177" i="4"/>
  <c r="N150" i="4"/>
  <c r="F134" i="1"/>
  <c r="X40" i="1" s="1"/>
  <c r="AE40" i="1"/>
  <c r="L177" i="6"/>
  <c r="M150" i="6"/>
  <c r="M151" i="6" s="1"/>
  <c r="L156" i="6"/>
  <c r="K175" i="6"/>
  <c r="K176" i="6" s="1"/>
  <c r="K174" i="6"/>
  <c r="K157" i="6"/>
  <c r="M47" i="6"/>
  <c r="M35" i="6"/>
  <c r="M36" i="6" s="1"/>
  <c r="J143" i="6"/>
  <c r="J131" i="6"/>
  <c r="J132" i="6" s="1"/>
  <c r="L127" i="6"/>
  <c r="L126" i="6"/>
  <c r="L109" i="6"/>
  <c r="K124" i="6"/>
  <c r="K123" i="6"/>
  <c r="K122" i="6"/>
  <c r="K117" i="6"/>
  <c r="K116" i="6"/>
  <c r="K114" i="6"/>
  <c r="K113" i="6"/>
  <c r="N28" i="6"/>
  <c r="N27" i="6"/>
  <c r="N26" i="6"/>
  <c r="N21" i="6"/>
  <c r="N20" i="6"/>
  <c r="N18" i="6"/>
  <c r="N17" i="6"/>
  <c r="I191" i="6"/>
  <c r="I179" i="6"/>
  <c r="I180" i="6" s="1"/>
  <c r="M129" i="6"/>
  <c r="M108" i="6"/>
  <c r="N102" i="6"/>
  <c r="N103" i="6" s="1"/>
  <c r="J172" i="6"/>
  <c r="J171" i="6"/>
  <c r="J170" i="6"/>
  <c r="J165" i="6"/>
  <c r="J164" i="6"/>
  <c r="J161" i="6"/>
  <c r="J162" i="6"/>
  <c r="K175" i="5"/>
  <c r="K176" i="5" s="1"/>
  <c r="K174" i="5"/>
  <c r="K157" i="5"/>
  <c r="M79" i="5"/>
  <c r="M78" i="5"/>
  <c r="M61" i="5"/>
  <c r="N81" i="5"/>
  <c r="N60" i="5"/>
  <c r="L126" i="5"/>
  <c r="L109" i="5"/>
  <c r="L127" i="5"/>
  <c r="L128" i="5" s="1"/>
  <c r="L35" i="5"/>
  <c r="L36" i="5" s="1"/>
  <c r="L47" i="5"/>
  <c r="L76" i="5"/>
  <c r="L75" i="5"/>
  <c r="L74" i="5"/>
  <c r="L69" i="5"/>
  <c r="L68" i="5"/>
  <c r="L66" i="5"/>
  <c r="L65" i="5"/>
  <c r="L63" i="5" s="1"/>
  <c r="L177" i="5"/>
  <c r="L156" i="5"/>
  <c r="M150" i="5"/>
  <c r="M151" i="5" s="1"/>
  <c r="J131" i="5"/>
  <c r="J132" i="5" s="1"/>
  <c r="J143" i="5"/>
  <c r="N31" i="5"/>
  <c r="N32" i="5" s="1"/>
  <c r="N30" i="5"/>
  <c r="N13" i="5"/>
  <c r="J162" i="5"/>
  <c r="J161" i="5"/>
  <c r="J172" i="5"/>
  <c r="J170" i="5"/>
  <c r="J165" i="5"/>
  <c r="J171" i="5"/>
  <c r="J164" i="5"/>
  <c r="K124" i="5"/>
  <c r="K123" i="5"/>
  <c r="K122" i="5"/>
  <c r="K117" i="5"/>
  <c r="K116" i="5"/>
  <c r="K114" i="5"/>
  <c r="K113" i="5"/>
  <c r="I159" i="5"/>
  <c r="M129" i="5"/>
  <c r="M108" i="5"/>
  <c r="N102" i="5"/>
  <c r="N103" i="5" s="1"/>
  <c r="K95" i="5"/>
  <c r="K83" i="5"/>
  <c r="K84" i="5" s="1"/>
  <c r="F92" i="5" s="1"/>
  <c r="F93" i="5" s="1"/>
  <c r="M28" i="5"/>
  <c r="M27" i="5"/>
  <c r="M26" i="5"/>
  <c r="M21" i="5"/>
  <c r="M20" i="5"/>
  <c r="M18" i="5"/>
  <c r="M17" i="5"/>
  <c r="M15" i="5" s="1"/>
  <c r="M31" i="4"/>
  <c r="M32" i="4" s="1"/>
  <c r="M30" i="4"/>
  <c r="M13" i="4"/>
  <c r="M174" i="4"/>
  <c r="N7" i="4"/>
  <c r="N12" i="4" s="1"/>
  <c r="N33" i="4"/>
  <c r="J191" i="4"/>
  <c r="J179" i="4"/>
  <c r="J180" i="4" s="1"/>
  <c r="N79" i="4"/>
  <c r="D143" i="4" s="1"/>
  <c r="N78" i="4"/>
  <c r="N61" i="4"/>
  <c r="K143" i="4"/>
  <c r="K131" i="4"/>
  <c r="K132" i="4" s="1"/>
  <c r="F140" i="4" s="1"/>
  <c r="F141" i="4" s="1"/>
  <c r="L172" i="4"/>
  <c r="L171" i="4"/>
  <c r="L170" i="4"/>
  <c r="L165" i="4"/>
  <c r="L164" i="4"/>
  <c r="L162" i="4"/>
  <c r="L161" i="4"/>
  <c r="M127" i="4"/>
  <c r="M128" i="4" s="1"/>
  <c r="M126" i="4"/>
  <c r="M109" i="4"/>
  <c r="N129" i="4"/>
  <c r="N108" i="4"/>
  <c r="K191" i="4"/>
  <c r="M76" i="4"/>
  <c r="M75" i="4"/>
  <c r="M74" i="4"/>
  <c r="M69" i="4"/>
  <c r="M68" i="4"/>
  <c r="M66" i="4"/>
  <c r="M65" i="4"/>
  <c r="M63" i="4" s="1"/>
  <c r="L95" i="4"/>
  <c r="L83" i="4"/>
  <c r="L84" i="4" s="1"/>
  <c r="K47" i="4"/>
  <c r="K35" i="4"/>
  <c r="K36" i="4" s="1"/>
  <c r="F44" i="4" s="1"/>
  <c r="F45" i="4" s="1"/>
  <c r="L124" i="4"/>
  <c r="L123" i="4"/>
  <c r="L122" i="4"/>
  <c r="L117" i="4"/>
  <c r="L116" i="4"/>
  <c r="L114" i="4"/>
  <c r="L113" i="4"/>
  <c r="L111" i="4" s="1"/>
  <c r="L28" i="4"/>
  <c r="L27" i="4"/>
  <c r="L26" i="4"/>
  <c r="L21" i="4"/>
  <c r="L20" i="4"/>
  <c r="L18" i="4"/>
  <c r="L17" i="4"/>
  <c r="G12" i="3"/>
  <c r="AJ42" i="1"/>
  <c r="R74" i="1"/>
  <c r="AK27" i="1" s="1"/>
  <c r="Q136" i="1"/>
  <c r="S137" i="1" s="1"/>
  <c r="Q95" i="1"/>
  <c r="S96" i="1" s="1"/>
  <c r="Q173" i="1"/>
  <c r="S174" i="1" s="1"/>
  <c r="H173" i="1"/>
  <c r="I174" i="1"/>
  <c r="H95" i="1"/>
  <c r="I96" i="1"/>
  <c r="I116" i="1"/>
  <c r="H115" i="1"/>
  <c r="H154" i="1"/>
  <c r="I155" i="1"/>
  <c r="P76" i="1"/>
  <c r="AJ30" i="1" s="1"/>
  <c r="AS7" i="1" s="1"/>
  <c r="O76" i="1"/>
  <c r="Y29" i="1" s="1"/>
  <c r="F174" i="1"/>
  <c r="G174" i="1" s="1"/>
  <c r="P115" i="1"/>
  <c r="O115" i="1"/>
  <c r="R136" i="1"/>
  <c r="AF40" i="1"/>
  <c r="Z40" i="1"/>
  <c r="AA41" i="1" s="1"/>
  <c r="AI41" i="1" s="1"/>
  <c r="F155" i="1"/>
  <c r="G155" i="1" s="1"/>
  <c r="N77" i="1"/>
  <c r="N125" i="1"/>
  <c r="N96" i="1"/>
  <c r="N144" i="1"/>
  <c r="O174" i="1"/>
  <c r="P174" i="1"/>
  <c r="P163" i="1"/>
  <c r="O163" i="1"/>
  <c r="S136" i="1"/>
  <c r="R135" i="1"/>
  <c r="Q154" i="1"/>
  <c r="Q75" i="1"/>
  <c r="O155" i="1"/>
  <c r="P155" i="1"/>
  <c r="AJ43" i="1" s="1"/>
  <c r="AS9" i="1" s="1"/>
  <c r="S173" i="1"/>
  <c r="AL41" i="1" s="1"/>
  <c r="R172" i="1"/>
  <c r="AK40" i="1" s="1"/>
  <c r="I57" i="1" l="1"/>
  <c r="H56" i="1"/>
  <c r="M157" i="4"/>
  <c r="R18" i="1"/>
  <c r="AK18" i="1" s="1"/>
  <c r="S19" i="1"/>
  <c r="AL19" i="1" s="1"/>
  <c r="AF16" i="1"/>
  <c r="Z16" i="1"/>
  <c r="AA17" i="1" s="1"/>
  <c r="AI17" i="1" s="1"/>
  <c r="AR6" i="1" s="1"/>
  <c r="I18" i="1"/>
  <c r="H17" i="1"/>
  <c r="N78" i="6"/>
  <c r="N61" i="6"/>
  <c r="N79" i="6"/>
  <c r="AG17" i="1"/>
  <c r="Q155" i="1"/>
  <c r="R95" i="1"/>
  <c r="L15" i="4"/>
  <c r="K111" i="5"/>
  <c r="K111" i="6"/>
  <c r="N151" i="4"/>
  <c r="N156" i="4" s="1"/>
  <c r="N177" i="4"/>
  <c r="F18" i="1"/>
  <c r="X18" i="1" s="1"/>
  <c r="AF18" i="1" s="1"/>
  <c r="AE18" i="1"/>
  <c r="AO6" i="1" s="1"/>
  <c r="X28" i="1"/>
  <c r="G75" i="1"/>
  <c r="K95" i="6"/>
  <c r="K83" i="6"/>
  <c r="K84" i="6" s="1"/>
  <c r="F92" i="6" s="1"/>
  <c r="F93" i="6" s="1"/>
  <c r="I17" i="1"/>
  <c r="AH17" i="1" s="1"/>
  <c r="H16" i="1"/>
  <c r="AG16" i="1" s="1"/>
  <c r="H37" i="1"/>
  <c r="I38" i="1"/>
  <c r="AF17" i="1"/>
  <c r="Z17" i="1"/>
  <c r="M69" i="6"/>
  <c r="M75" i="6"/>
  <c r="M76" i="6"/>
  <c r="M68" i="6"/>
  <c r="M66" i="6"/>
  <c r="M74" i="6"/>
  <c r="M65" i="6"/>
  <c r="M63" i="6" s="1"/>
  <c r="F76" i="1"/>
  <c r="AE29" i="1"/>
  <c r="AH18" i="1"/>
  <c r="AQ6" i="1" s="1"/>
  <c r="R17" i="1"/>
  <c r="AK17" i="1" s="1"/>
  <c r="AT6" i="1" s="1"/>
  <c r="S18" i="1"/>
  <c r="AL18" i="1" s="1"/>
  <c r="AU6" i="1" s="1"/>
  <c r="L159" i="4"/>
  <c r="N15" i="6"/>
  <c r="G134" i="1"/>
  <c r="D136" i="1"/>
  <c r="E136" i="1" s="1"/>
  <c r="E77" i="1"/>
  <c r="Z18" i="1"/>
  <c r="AA19" i="1" s="1"/>
  <c r="AI19" i="1" s="1"/>
  <c r="L63" i="6"/>
  <c r="F135" i="1"/>
  <c r="AE41" i="1"/>
  <c r="L175" i="6"/>
  <c r="L176" i="6" s="1"/>
  <c r="L174" i="6"/>
  <c r="L157" i="6"/>
  <c r="N108" i="6"/>
  <c r="N129" i="6"/>
  <c r="N47" i="6"/>
  <c r="C48" i="6" s="1"/>
  <c r="D48" i="6" s="1"/>
  <c r="N35" i="6"/>
  <c r="N36" i="6" s="1"/>
  <c r="G44" i="6" s="1"/>
  <c r="G45" i="6" s="1"/>
  <c r="K143" i="6"/>
  <c r="K131" i="6"/>
  <c r="K132" i="6" s="1"/>
  <c r="F140" i="6" s="1"/>
  <c r="F141" i="6" s="1"/>
  <c r="L124" i="6"/>
  <c r="L123" i="6"/>
  <c r="L122" i="6"/>
  <c r="L117" i="6"/>
  <c r="L116" i="6"/>
  <c r="L114" i="6"/>
  <c r="L113" i="6"/>
  <c r="L111" i="6" s="1"/>
  <c r="K172" i="6"/>
  <c r="K171" i="6"/>
  <c r="K170" i="6"/>
  <c r="K165" i="6"/>
  <c r="K164" i="6"/>
  <c r="K162" i="6"/>
  <c r="K161" i="6"/>
  <c r="K159" i="6" s="1"/>
  <c r="M156" i="6"/>
  <c r="M177" i="6"/>
  <c r="N150" i="6"/>
  <c r="N151" i="6" s="1"/>
  <c r="J159" i="6"/>
  <c r="M127" i="6"/>
  <c r="M128" i="6" s="1"/>
  <c r="M126" i="6"/>
  <c r="M109" i="6"/>
  <c r="L128" i="6"/>
  <c r="L175" i="5"/>
  <c r="L176" i="5" s="1"/>
  <c r="L174" i="5"/>
  <c r="L157" i="5"/>
  <c r="M47" i="5"/>
  <c r="M35" i="5"/>
  <c r="M36" i="5" s="1"/>
  <c r="M127" i="5"/>
  <c r="M128" i="5" s="1"/>
  <c r="M126" i="5"/>
  <c r="M109" i="5"/>
  <c r="I191" i="5"/>
  <c r="I179" i="5"/>
  <c r="I180" i="5" s="1"/>
  <c r="L95" i="5"/>
  <c r="L83" i="5"/>
  <c r="L84" i="5" s="1"/>
  <c r="L123" i="5"/>
  <c r="L116" i="5"/>
  <c r="L114" i="5"/>
  <c r="L113" i="5"/>
  <c r="L124" i="5"/>
  <c r="L122" i="5"/>
  <c r="L117" i="5"/>
  <c r="N79" i="5"/>
  <c r="N78" i="5"/>
  <c r="N61" i="5"/>
  <c r="M76" i="5"/>
  <c r="M75" i="5"/>
  <c r="M74" i="5"/>
  <c r="M69" i="5"/>
  <c r="M68" i="5"/>
  <c r="M66" i="5"/>
  <c r="M65" i="5"/>
  <c r="M63" i="5" s="1"/>
  <c r="K172" i="5"/>
  <c r="K171" i="5"/>
  <c r="K170" i="5"/>
  <c r="K165" i="5"/>
  <c r="K164" i="5"/>
  <c r="K162" i="5"/>
  <c r="K161" i="5"/>
  <c r="N129" i="5"/>
  <c r="N108" i="5"/>
  <c r="K143" i="5"/>
  <c r="K131" i="5"/>
  <c r="K132" i="5" s="1"/>
  <c r="F140" i="5" s="1"/>
  <c r="F141" i="5" s="1"/>
  <c r="J159" i="5"/>
  <c r="N28" i="5"/>
  <c r="N27" i="5"/>
  <c r="N26" i="5"/>
  <c r="N21" i="5"/>
  <c r="N20" i="5"/>
  <c r="N18" i="5"/>
  <c r="N17" i="5"/>
  <c r="M177" i="5"/>
  <c r="N150" i="5"/>
  <c r="N151" i="5" s="1"/>
  <c r="M156" i="5"/>
  <c r="M80" i="5"/>
  <c r="N13" i="4"/>
  <c r="N31" i="4"/>
  <c r="N32" i="4" s="1"/>
  <c r="N30" i="4"/>
  <c r="L35" i="4"/>
  <c r="L36" i="4" s="1"/>
  <c r="L47" i="4"/>
  <c r="M95" i="4"/>
  <c r="M83" i="4"/>
  <c r="M84" i="4" s="1"/>
  <c r="N127" i="4"/>
  <c r="N126" i="4"/>
  <c r="N109" i="4"/>
  <c r="M124" i="4"/>
  <c r="M122" i="4"/>
  <c r="M117" i="4"/>
  <c r="M123" i="4"/>
  <c r="M116" i="4"/>
  <c r="M114" i="4"/>
  <c r="M113" i="4"/>
  <c r="M111" i="4" s="1"/>
  <c r="L191" i="4"/>
  <c r="L179" i="4"/>
  <c r="L180" i="4" s="1"/>
  <c r="N80" i="4"/>
  <c r="C143" i="4" s="1"/>
  <c r="M162" i="4"/>
  <c r="M161" i="4"/>
  <c r="M171" i="4"/>
  <c r="M164" i="4"/>
  <c r="M172" i="4"/>
  <c r="M165" i="4"/>
  <c r="M170" i="4"/>
  <c r="M28" i="4"/>
  <c r="M27" i="4"/>
  <c r="M26" i="4"/>
  <c r="M21" i="4"/>
  <c r="M20" i="4"/>
  <c r="M18" i="4"/>
  <c r="M17" i="4"/>
  <c r="M15" i="4" s="1"/>
  <c r="L143" i="4"/>
  <c r="L131" i="4"/>
  <c r="L132" i="4" s="1"/>
  <c r="N175" i="4"/>
  <c r="N176" i="4" s="1"/>
  <c r="N174" i="4"/>
  <c r="N157" i="4"/>
  <c r="N76" i="4"/>
  <c r="N75" i="4"/>
  <c r="N74" i="4"/>
  <c r="N69" i="4"/>
  <c r="N68" i="4"/>
  <c r="N66" i="4"/>
  <c r="N65" i="4"/>
  <c r="N63" i="4" s="1"/>
  <c r="F188" i="4"/>
  <c r="F189" i="4" s="1"/>
  <c r="H12" i="3"/>
  <c r="D13" i="3" s="1"/>
  <c r="R173" i="1"/>
  <c r="Q174" i="1"/>
  <c r="S175" i="1" s="1"/>
  <c r="Q115" i="1"/>
  <c r="R115" i="1" s="1"/>
  <c r="Q163" i="1"/>
  <c r="S164" i="1" s="1"/>
  <c r="I175" i="1"/>
  <c r="H174" i="1"/>
  <c r="S156" i="1"/>
  <c r="R155" i="1"/>
  <c r="AK42" i="1" s="1"/>
  <c r="R174" i="1"/>
  <c r="I97" i="1"/>
  <c r="H96" i="1"/>
  <c r="S76" i="1"/>
  <c r="AL29" i="1" s="1"/>
  <c r="R75" i="1"/>
  <c r="AK28" i="1" s="1"/>
  <c r="Y42" i="1"/>
  <c r="O96" i="1"/>
  <c r="P96" i="1"/>
  <c r="P77" i="1"/>
  <c r="O77" i="1"/>
  <c r="I156" i="1"/>
  <c r="H155" i="1"/>
  <c r="S116" i="1"/>
  <c r="S155" i="1"/>
  <c r="AL42" i="1" s="1"/>
  <c r="R154" i="1"/>
  <c r="AK41" i="1" s="1"/>
  <c r="O144" i="1"/>
  <c r="P144" i="1"/>
  <c r="P125" i="1"/>
  <c r="O125" i="1"/>
  <c r="Q76" i="1"/>
  <c r="F77" i="1" l="1"/>
  <c r="X30" i="1" s="1"/>
  <c r="AF30" i="1" s="1"/>
  <c r="AE30" i="1"/>
  <c r="AO7" i="1" s="1"/>
  <c r="E58" i="2" s="1"/>
  <c r="D143" i="6"/>
  <c r="N80" i="6"/>
  <c r="C143" i="6" s="1"/>
  <c r="G135" i="1"/>
  <c r="X41" i="1"/>
  <c r="F136" i="1"/>
  <c r="AE42" i="1"/>
  <c r="AO8" i="1" s="1"/>
  <c r="F58" i="2" s="1"/>
  <c r="D58" i="2"/>
  <c r="N69" i="6"/>
  <c r="N76" i="6"/>
  <c r="N68" i="6"/>
  <c r="N74" i="6"/>
  <c r="N65" i="6"/>
  <c r="N63" i="6" s="1"/>
  <c r="N75" i="6"/>
  <c r="N66" i="6"/>
  <c r="L83" i="6"/>
  <c r="L84" i="6" s="1"/>
  <c r="L95" i="6"/>
  <c r="I135" i="1"/>
  <c r="AH41" i="1" s="1"/>
  <c r="H134" i="1"/>
  <c r="AG40" i="1" s="1"/>
  <c r="G76" i="1"/>
  <c r="X29" i="1"/>
  <c r="H75" i="1"/>
  <c r="AG28" i="1" s="1"/>
  <c r="I76" i="1"/>
  <c r="AH29" i="1" s="1"/>
  <c r="G18" i="1"/>
  <c r="N15" i="5"/>
  <c r="K159" i="5"/>
  <c r="L111" i="5"/>
  <c r="M95" i="6"/>
  <c r="M83" i="6"/>
  <c r="M84" i="6" s="1"/>
  <c r="AF28" i="1"/>
  <c r="Z28" i="1"/>
  <c r="AA29" i="1" s="1"/>
  <c r="AI29" i="1" s="1"/>
  <c r="AR7" i="1" s="1"/>
  <c r="N80" i="5"/>
  <c r="D143" i="5"/>
  <c r="M124" i="6"/>
  <c r="M123" i="6"/>
  <c r="M122" i="6"/>
  <c r="M117" i="6"/>
  <c r="M116" i="6"/>
  <c r="M114" i="6"/>
  <c r="M113" i="6"/>
  <c r="J191" i="6"/>
  <c r="J179" i="6"/>
  <c r="J180" i="6" s="1"/>
  <c r="M157" i="6"/>
  <c r="M174" i="6"/>
  <c r="M175" i="6"/>
  <c r="M176" i="6" s="1"/>
  <c r="L131" i="6"/>
  <c r="L132" i="6" s="1"/>
  <c r="L143" i="6"/>
  <c r="N126" i="6"/>
  <c r="N109" i="6"/>
  <c r="N127" i="6"/>
  <c r="N177" i="6"/>
  <c r="N156" i="6"/>
  <c r="K191" i="6"/>
  <c r="K179" i="6"/>
  <c r="K180" i="6" s="1"/>
  <c r="L172" i="6"/>
  <c r="L171" i="6"/>
  <c r="L170" i="6"/>
  <c r="L165" i="6"/>
  <c r="L164" i="6"/>
  <c r="L162" i="6"/>
  <c r="L161" i="6"/>
  <c r="M175" i="5"/>
  <c r="M176" i="5" s="1"/>
  <c r="M174" i="5"/>
  <c r="M157" i="5"/>
  <c r="J191" i="5"/>
  <c r="J179" i="5"/>
  <c r="J180" i="5" s="1"/>
  <c r="M95" i="5"/>
  <c r="M83" i="5"/>
  <c r="M84" i="5" s="1"/>
  <c r="C143" i="5"/>
  <c r="L143" i="5"/>
  <c r="L131" i="5"/>
  <c r="L132" i="5" s="1"/>
  <c r="N156" i="5"/>
  <c r="N177" i="5"/>
  <c r="N47" i="5"/>
  <c r="C48" i="5" s="1"/>
  <c r="D48" i="5" s="1"/>
  <c r="N35" i="5"/>
  <c r="N36" i="5" s="1"/>
  <c r="G44" i="5" s="1"/>
  <c r="G45" i="5" s="1"/>
  <c r="N127" i="5"/>
  <c r="N126" i="5"/>
  <c r="N109" i="5"/>
  <c r="K191" i="5"/>
  <c r="K179" i="5"/>
  <c r="K180" i="5" s="1"/>
  <c r="N76" i="5"/>
  <c r="N75" i="5"/>
  <c r="N74" i="5"/>
  <c r="N69" i="5"/>
  <c r="N68" i="5"/>
  <c r="N66" i="5"/>
  <c r="N65" i="5"/>
  <c r="N63" i="5" s="1"/>
  <c r="M124" i="5"/>
  <c r="M123" i="5"/>
  <c r="M122" i="5"/>
  <c r="M117" i="5"/>
  <c r="M116" i="5"/>
  <c r="M114" i="5"/>
  <c r="M113" i="5"/>
  <c r="M111" i="5" s="1"/>
  <c r="L172" i="5"/>
  <c r="L171" i="5"/>
  <c r="L170" i="5"/>
  <c r="L165" i="5"/>
  <c r="L164" i="5"/>
  <c r="L162" i="5"/>
  <c r="L161" i="5"/>
  <c r="N172" i="4"/>
  <c r="N171" i="4"/>
  <c r="N170" i="4"/>
  <c r="N165" i="4"/>
  <c r="N164" i="4"/>
  <c r="N162" i="4"/>
  <c r="N161" i="4"/>
  <c r="M47" i="4"/>
  <c r="M35" i="4"/>
  <c r="M36" i="4" s="1"/>
  <c r="M159" i="4"/>
  <c r="M143" i="4"/>
  <c r="M131" i="4"/>
  <c r="M132" i="4" s="1"/>
  <c r="N128" i="4"/>
  <c r="C191" i="4" s="1"/>
  <c r="D191" i="4"/>
  <c r="N20" i="4"/>
  <c r="N18" i="4"/>
  <c r="N17" i="4"/>
  <c r="N15" i="4" s="1"/>
  <c r="N28" i="4"/>
  <c r="N27" i="4"/>
  <c r="N26" i="4"/>
  <c r="N21" i="4"/>
  <c r="N95" i="4"/>
  <c r="C96" i="4" s="1"/>
  <c r="C195" i="4" s="1"/>
  <c r="C197" i="4" s="1"/>
  <c r="D24" i="7" s="1"/>
  <c r="N83" i="4"/>
  <c r="N84" i="4" s="1"/>
  <c r="G92" i="4" s="1"/>
  <c r="G93" i="4" s="1"/>
  <c r="N124" i="4"/>
  <c r="N123" i="4"/>
  <c r="N122" i="4"/>
  <c r="N117" i="4"/>
  <c r="N116" i="4"/>
  <c r="N114" i="4"/>
  <c r="N113" i="4"/>
  <c r="N111" i="4" s="1"/>
  <c r="E13" i="3"/>
  <c r="G13" i="3" s="1"/>
  <c r="AL43" i="1"/>
  <c r="AU9" i="1" s="1"/>
  <c r="R163" i="1"/>
  <c r="AJ31" i="1"/>
  <c r="Q96" i="1"/>
  <c r="S97" i="1" s="1"/>
  <c r="Y31" i="1"/>
  <c r="Z31" i="1" s="1"/>
  <c r="AA33" i="1" s="1"/>
  <c r="AI33" i="1" s="1"/>
  <c r="Q144" i="1"/>
  <c r="S145" i="1" s="1"/>
  <c r="Y30" i="1"/>
  <c r="Z30" i="1" s="1"/>
  <c r="Q125" i="1"/>
  <c r="AJ32" i="1"/>
  <c r="Q77" i="1"/>
  <c r="S77" i="1"/>
  <c r="AL30" i="1" s="1"/>
  <c r="AU7" i="1" s="1"/>
  <c r="R76" i="1"/>
  <c r="AK29" i="1" s="1"/>
  <c r="Z29" i="1" l="1"/>
  <c r="AF29" i="1"/>
  <c r="N83" i="6"/>
  <c r="N84" i="6" s="1"/>
  <c r="G92" i="6" s="1"/>
  <c r="G93" i="6" s="1"/>
  <c r="N95" i="6"/>
  <c r="C96" i="6" s="1"/>
  <c r="G136" i="1"/>
  <c r="X42" i="1"/>
  <c r="I19" i="1"/>
  <c r="AH19" i="1" s="1"/>
  <c r="AQ7" i="1" s="1"/>
  <c r="H18" i="1"/>
  <c r="AG18" i="1" s="1"/>
  <c r="AP6" i="1" s="1"/>
  <c r="I77" i="1"/>
  <c r="AH30" i="1" s="1"/>
  <c r="H76" i="1"/>
  <c r="AG29" i="1" s="1"/>
  <c r="Z41" i="1"/>
  <c r="AF41" i="1"/>
  <c r="G77" i="1"/>
  <c r="L159" i="5"/>
  <c r="L191" i="5" s="1"/>
  <c r="L159" i="6"/>
  <c r="L191" i="6" s="1"/>
  <c r="D60" i="2"/>
  <c r="D59" i="2"/>
  <c r="D29" i="7" s="1"/>
  <c r="I136" i="1"/>
  <c r="AH42" i="1" s="1"/>
  <c r="H135" i="1"/>
  <c r="AG41" i="1" s="1"/>
  <c r="E60" i="2"/>
  <c r="E59" i="2"/>
  <c r="E61" i="2" s="1"/>
  <c r="E29" i="7" s="1"/>
  <c r="AA31" i="1"/>
  <c r="AI31" i="1" s="1"/>
  <c r="N159" i="4"/>
  <c r="M111" i="6"/>
  <c r="F59" i="2"/>
  <c r="F60" i="2"/>
  <c r="F61" i="2" s="1"/>
  <c r="F29" i="7" s="1"/>
  <c r="F188" i="5"/>
  <c r="F189" i="5" s="1"/>
  <c r="N175" i="6"/>
  <c r="N176" i="6" s="1"/>
  <c r="N174" i="6"/>
  <c r="N157" i="6"/>
  <c r="N128" i="6"/>
  <c r="C191" i="6" s="1"/>
  <c r="D191" i="6"/>
  <c r="N123" i="6"/>
  <c r="N116" i="6"/>
  <c r="N114" i="6"/>
  <c r="N113" i="6"/>
  <c r="N111" i="6" s="1"/>
  <c r="N124" i="6"/>
  <c r="N122" i="6"/>
  <c r="N117" i="6"/>
  <c r="M162" i="6"/>
  <c r="M161" i="6"/>
  <c r="M171" i="6"/>
  <c r="M164" i="6"/>
  <c r="M172" i="6"/>
  <c r="M165" i="6"/>
  <c r="M170" i="6"/>
  <c r="F188" i="6"/>
  <c r="F189" i="6" s="1"/>
  <c r="M143" i="6"/>
  <c r="M131" i="6"/>
  <c r="M132" i="6" s="1"/>
  <c r="N157" i="5"/>
  <c r="N174" i="5"/>
  <c r="N175" i="5"/>
  <c r="N176" i="5" s="1"/>
  <c r="L179" i="5"/>
  <c r="L180" i="5" s="1"/>
  <c r="N95" i="5"/>
  <c r="C96" i="5" s="1"/>
  <c r="D96" i="5" s="1"/>
  <c r="N83" i="5"/>
  <c r="N84" i="5" s="1"/>
  <c r="G92" i="5" s="1"/>
  <c r="G93" i="5" s="1"/>
  <c r="N128" i="5"/>
  <c r="C191" i="5" s="1"/>
  <c r="D191" i="5"/>
  <c r="M172" i="5"/>
  <c r="M171" i="5"/>
  <c r="M170" i="5"/>
  <c r="M165" i="5"/>
  <c r="M164" i="5"/>
  <c r="M162" i="5"/>
  <c r="M161" i="5"/>
  <c r="M159" i="5" s="1"/>
  <c r="M143" i="5"/>
  <c r="M131" i="5"/>
  <c r="M132" i="5" s="1"/>
  <c r="N124" i="5"/>
  <c r="N123" i="5"/>
  <c r="N122" i="5"/>
  <c r="N117" i="5"/>
  <c r="N116" i="5"/>
  <c r="N114" i="5"/>
  <c r="N113" i="5"/>
  <c r="N143" i="4"/>
  <c r="C144" i="4" s="1"/>
  <c r="D195" i="4" s="1"/>
  <c r="D197" i="4" s="1"/>
  <c r="E24" i="7" s="1"/>
  <c r="N131" i="4"/>
  <c r="N132" i="4" s="1"/>
  <c r="G140" i="4" s="1"/>
  <c r="G141" i="4" s="1"/>
  <c r="N47" i="4"/>
  <c r="C48" i="4" s="1"/>
  <c r="N35" i="4"/>
  <c r="N36" i="4" s="1"/>
  <c r="G44" i="4" s="1"/>
  <c r="G45" i="4" s="1"/>
  <c r="M191" i="4"/>
  <c r="M179" i="4"/>
  <c r="M180" i="4" s="1"/>
  <c r="N191" i="4"/>
  <c r="N179" i="4"/>
  <c r="N180" i="4" s="1"/>
  <c r="H13" i="3"/>
  <c r="D14" i="3" s="1"/>
  <c r="AS8" i="1"/>
  <c r="R96" i="1"/>
  <c r="R144" i="1"/>
  <c r="AR8" i="1"/>
  <c r="R77" i="1"/>
  <c r="S78" i="1"/>
  <c r="AL31" i="1" s="1"/>
  <c r="AU8" i="1" s="1"/>
  <c r="S126" i="1"/>
  <c r="AL32" i="1" s="1"/>
  <c r="R125" i="1"/>
  <c r="D96" i="6" l="1"/>
  <c r="C195" i="6"/>
  <c r="C197" i="6" s="1"/>
  <c r="D26" i="7" s="1"/>
  <c r="L179" i="6"/>
  <c r="L180" i="6" s="1"/>
  <c r="I78" i="1"/>
  <c r="AH31" i="1" s="1"/>
  <c r="AQ8" i="1" s="1"/>
  <c r="H77" i="1"/>
  <c r="AG30" i="1" s="1"/>
  <c r="AP7" i="1" s="1"/>
  <c r="AF42" i="1"/>
  <c r="Z42" i="1"/>
  <c r="AA43" i="1" s="1"/>
  <c r="AI43" i="1" s="1"/>
  <c r="AR9" i="1" s="1"/>
  <c r="N111" i="5"/>
  <c r="I137" i="1"/>
  <c r="AH43" i="1" s="1"/>
  <c r="AQ9" i="1" s="1"/>
  <c r="H136" i="1"/>
  <c r="AG42" i="1" s="1"/>
  <c r="AP8" i="1" s="1"/>
  <c r="C195" i="5"/>
  <c r="C197" i="5" s="1"/>
  <c r="D25" i="7" s="1"/>
  <c r="M159" i="6"/>
  <c r="N172" i="6"/>
  <c r="N171" i="6"/>
  <c r="N170" i="6"/>
  <c r="N165" i="6"/>
  <c r="N164" i="6"/>
  <c r="N162" i="6"/>
  <c r="N161" i="6"/>
  <c r="N143" i="6"/>
  <c r="C144" i="6" s="1"/>
  <c r="N131" i="6"/>
  <c r="N132" i="6" s="1"/>
  <c r="G140" i="6" s="1"/>
  <c r="G141" i="6" s="1"/>
  <c r="M191" i="5"/>
  <c r="M179" i="5"/>
  <c r="M180" i="5" s="1"/>
  <c r="N162" i="5"/>
  <c r="N161" i="5"/>
  <c r="N171" i="5"/>
  <c r="N164" i="5"/>
  <c r="N172" i="5"/>
  <c r="N165" i="5"/>
  <c r="N170" i="5"/>
  <c r="N131" i="5"/>
  <c r="N132" i="5" s="1"/>
  <c r="G140" i="5" s="1"/>
  <c r="G141" i="5" s="1"/>
  <c r="N143" i="5"/>
  <c r="C144" i="5" s="1"/>
  <c r="C192" i="4"/>
  <c r="E195" i="4" s="1"/>
  <c r="E197" i="4" s="1"/>
  <c r="F24" i="7" s="1"/>
  <c r="G188" i="4"/>
  <c r="G189" i="4" s="1"/>
  <c r="E14" i="3"/>
  <c r="G14" i="3" s="1"/>
  <c r="H14" i="3" s="1"/>
  <c r="D15" i="3" s="1"/>
  <c r="AK30" i="1"/>
  <c r="AT7" i="1" s="1"/>
  <c r="AK31" i="1"/>
  <c r="AT8" i="1" s="1"/>
  <c r="N159" i="6" l="1"/>
  <c r="AP12" i="1" a="1"/>
  <c r="D144" i="6"/>
  <c r="D195" i="6"/>
  <c r="D197" i="6" s="1"/>
  <c r="E26" i="7" s="1"/>
  <c r="D144" i="5"/>
  <c r="D195" i="5"/>
  <c r="D197" i="5" s="1"/>
  <c r="E25" i="7" s="1"/>
  <c r="N191" i="6"/>
  <c r="N179" i="6"/>
  <c r="N180" i="6" s="1"/>
  <c r="M191" i="6"/>
  <c r="C192" i="6" s="1"/>
  <c r="M179" i="6"/>
  <c r="M180" i="6" s="1"/>
  <c r="G188" i="6" s="1"/>
  <c r="G189" i="6" s="1"/>
  <c r="N159" i="5"/>
  <c r="E15" i="3"/>
  <c r="G15" i="3" s="1"/>
  <c r="H15" i="3" s="1"/>
  <c r="D16" i="3" s="1"/>
  <c r="AR12" i="1" l="1"/>
  <c r="AR13" i="1"/>
  <c r="AR14" i="1"/>
  <c r="F16" i="7" s="1"/>
  <c r="F20" i="7" s="1"/>
  <c r="AR15" i="1"/>
  <c r="F17" i="7" s="1"/>
  <c r="AR16" i="1"/>
  <c r="F32" i="7" s="1"/>
  <c r="AR17" i="1"/>
  <c r="F31" i="7" s="1"/>
  <c r="AR18" i="1"/>
  <c r="F22" i="7" s="1"/>
  <c r="AR19" i="1"/>
  <c r="F23" i="7" s="1"/>
  <c r="AS12" i="1"/>
  <c r="AS13" i="1"/>
  <c r="AS14" i="1"/>
  <c r="AS15" i="1"/>
  <c r="AS16" i="1"/>
  <c r="AS17" i="1"/>
  <c r="AS18" i="1"/>
  <c r="AS19" i="1"/>
  <c r="AP12" i="1"/>
  <c r="AP13" i="1"/>
  <c r="AP14" i="1"/>
  <c r="D16" i="7" s="1"/>
  <c r="D20" i="7" s="1"/>
  <c r="AP15" i="1"/>
  <c r="D17" i="7" s="1"/>
  <c r="AP16" i="1"/>
  <c r="D32" i="7" s="1"/>
  <c r="AP17" i="1"/>
  <c r="D31" i="7" s="1"/>
  <c r="AP18" i="1"/>
  <c r="D22" i="7" s="1"/>
  <c r="D35" i="7" s="1"/>
  <c r="AP19" i="1"/>
  <c r="D23" i="7" s="1"/>
  <c r="AQ12" i="1"/>
  <c r="AQ13" i="1"/>
  <c r="AQ14" i="1"/>
  <c r="E16" i="7" s="1"/>
  <c r="E20" i="7" s="1"/>
  <c r="AQ15" i="1"/>
  <c r="E17" i="7" s="1"/>
  <c r="AQ16" i="1"/>
  <c r="E32" i="7" s="1"/>
  <c r="AQ17" i="1"/>
  <c r="E31" i="7" s="1"/>
  <c r="AQ18" i="1"/>
  <c r="E22" i="7" s="1"/>
  <c r="AQ19" i="1"/>
  <c r="E23" i="7" s="1"/>
  <c r="D192" i="6"/>
  <c r="E195" i="6"/>
  <c r="E197" i="6" s="1"/>
  <c r="F26" i="7" s="1"/>
  <c r="E35" i="7"/>
  <c r="N191" i="5"/>
  <c r="C192" i="5" s="1"/>
  <c r="N179" i="5"/>
  <c r="N180" i="5" s="1"/>
  <c r="G188" i="5" s="1"/>
  <c r="G189" i="5" s="1"/>
  <c r="E16" i="3"/>
  <c r="G16" i="3" s="1"/>
  <c r="H16" i="3" s="1"/>
  <c r="D17" i="3" s="1"/>
  <c r="E36" i="7" l="1"/>
  <c r="D36" i="7"/>
  <c r="D192" i="5"/>
  <c r="E195" i="5"/>
  <c r="E197" i="5" s="1"/>
  <c r="F25" i="7" s="1"/>
  <c r="F35" i="7" s="1"/>
  <c r="E17" i="3"/>
  <c r="G17" i="3" s="1"/>
  <c r="H17" i="3" s="1"/>
  <c r="D18" i="3" s="1"/>
  <c r="F36" i="7" l="1"/>
  <c r="E18" i="3"/>
  <c r="G18" i="3" s="1"/>
  <c r="H18" i="3" s="1"/>
  <c r="D19" i="3" s="1"/>
  <c r="E19" i="3" l="1"/>
  <c r="G19" i="3" s="1"/>
  <c r="H19" i="3" s="1"/>
  <c r="D20" i="3" s="1"/>
  <c r="E20" i="3" l="1"/>
  <c r="G20" i="3" l="1"/>
  <c r="I3" i="3"/>
  <c r="J3" i="3" l="1"/>
  <c r="H20" i="3"/>
  <c r="D21" i="3" s="1"/>
  <c r="E21" i="3" l="1"/>
  <c r="G21" i="3" l="1"/>
  <c r="H21" i="3" l="1"/>
  <c r="D22" i="3" s="1"/>
  <c r="E22" i="3" l="1"/>
  <c r="G22" i="3" l="1"/>
  <c r="H22" i="3" l="1"/>
  <c r="D23" i="3" s="1"/>
  <c r="E23" i="3" l="1"/>
  <c r="G23" i="3" l="1"/>
  <c r="H23" i="3" l="1"/>
  <c r="D24" i="3" s="1"/>
  <c r="E24" i="3" l="1"/>
  <c r="G24" i="3" l="1"/>
  <c r="H24" i="3" l="1"/>
  <c r="D25" i="3" s="1"/>
  <c r="E25" i="3" l="1"/>
  <c r="G25" i="3" l="1"/>
  <c r="H25" i="3" l="1"/>
  <c r="D26" i="3" s="1"/>
  <c r="E26" i="3" l="1"/>
  <c r="G26" i="3" s="1"/>
  <c r="H26" i="3" s="1"/>
  <c r="D27" i="3" s="1"/>
  <c r="E27" i="3" l="1"/>
  <c r="G27" i="3" s="1"/>
  <c r="H27" i="3" s="1"/>
  <c r="D28" i="3" s="1"/>
  <c r="E28" i="3" l="1"/>
  <c r="G28" i="3" s="1"/>
  <c r="H28" i="3" s="1"/>
  <c r="D29" i="3" s="1"/>
  <c r="E29" i="3" l="1"/>
  <c r="G29" i="3" s="1"/>
  <c r="H29" i="3" s="1"/>
  <c r="D30" i="3" s="1"/>
  <c r="E30" i="3" l="1"/>
  <c r="G30" i="3" s="1"/>
  <c r="H30" i="3" s="1"/>
  <c r="D31" i="3" s="1"/>
  <c r="E31" i="3" l="1"/>
  <c r="G31" i="3" s="1"/>
  <c r="H31" i="3" s="1"/>
  <c r="D32" i="3" s="1"/>
  <c r="E32" i="3" l="1"/>
  <c r="G32" i="3" l="1"/>
  <c r="I4" i="3"/>
  <c r="J4" i="3" l="1"/>
  <c r="H32" i="3"/>
  <c r="D33" i="3" s="1"/>
  <c r="E33" i="3" l="1"/>
  <c r="G33" i="3" l="1"/>
  <c r="H33" i="3" l="1"/>
  <c r="D34" i="3" s="1"/>
  <c r="E34" i="3" l="1"/>
  <c r="G34" i="3" l="1"/>
  <c r="H34" i="3" l="1"/>
  <c r="D35" i="3" s="1"/>
  <c r="E35" i="3" l="1"/>
  <c r="G35" i="3" l="1"/>
  <c r="H35" i="3" l="1"/>
  <c r="D36" i="3" s="1"/>
  <c r="E36" i="3" l="1"/>
  <c r="G36" i="3" l="1"/>
  <c r="H36" i="3" l="1"/>
  <c r="D37" i="3" s="1"/>
  <c r="E37" i="3" l="1"/>
  <c r="G37" i="3" l="1"/>
  <c r="H37" i="3" l="1"/>
  <c r="D38" i="3" s="1"/>
  <c r="E38" i="3" l="1"/>
  <c r="G38" i="3" s="1"/>
  <c r="H38" i="3" s="1"/>
  <c r="D39" i="3" s="1"/>
  <c r="E39" i="3" l="1"/>
  <c r="G39" i="3" s="1"/>
  <c r="H39" i="3" s="1"/>
  <c r="D40" i="3" s="1"/>
  <c r="E40" i="3" l="1"/>
  <c r="G40" i="3" s="1"/>
  <c r="H40" i="3" s="1"/>
  <c r="D41" i="3" s="1"/>
  <c r="E41" i="3" l="1"/>
  <c r="G41" i="3" s="1"/>
  <c r="H41" i="3" s="1"/>
  <c r="D42" i="3" s="1"/>
  <c r="E42" i="3" l="1"/>
  <c r="G42" i="3" s="1"/>
  <c r="H42" i="3" s="1"/>
  <c r="D43" i="3" s="1"/>
  <c r="E43" i="3" l="1"/>
  <c r="G43" i="3" s="1"/>
  <c r="H43" i="3" s="1"/>
  <c r="D44" i="3" s="1"/>
  <c r="E44" i="3" l="1"/>
  <c r="G44" i="3" l="1"/>
  <c r="I5" i="3"/>
  <c r="J5" i="3" l="1"/>
  <c r="J8" i="3" s="1" a="1"/>
  <c r="H44" i="3"/>
  <c r="K8" i="3" l="1"/>
  <c r="K9" i="3"/>
  <c r="K10" i="3"/>
  <c r="D59" i="7" s="1"/>
  <c r="K11" i="3"/>
  <c r="D60" i="7" s="1"/>
  <c r="L8" i="3"/>
  <c r="L9" i="3"/>
  <c r="L10" i="3"/>
  <c r="E59" i="7" s="1"/>
  <c r="L11" i="3"/>
  <c r="E60" i="7" s="1"/>
  <c r="M8" i="3"/>
  <c r="M9" i="3"/>
  <c r="M10" i="3"/>
  <c r="F59" i="7" s="1"/>
  <c r="M11" i="3"/>
  <c r="F60" i="7" s="1"/>
  <c r="J8" i="3"/>
  <c r="J9" i="3"/>
  <c r="J10" i="3"/>
  <c r="J11" i="3"/>
  <c r="E61" i="7" l="1"/>
  <c r="E62" i="7" s="1"/>
  <c r="E63" i="7" s="1"/>
  <c r="E67" i="7" s="1"/>
  <c r="F61" i="7"/>
  <c r="F62" i="7" s="1"/>
  <c r="F63" i="7" s="1"/>
  <c r="F67" i="7" s="1"/>
  <c r="D61" i="7"/>
</calcChain>
</file>

<file path=xl/sharedStrings.xml><?xml version="1.0" encoding="utf-8"?>
<sst xmlns="http://schemas.openxmlformats.org/spreadsheetml/2006/main" count="950" uniqueCount="189">
  <si>
    <t xml:space="preserve">CONSOLIDADO POR AÑO </t>
  </si>
  <si>
    <t>VENTAS 2021</t>
  </si>
  <si>
    <t>COMPRAS 2021</t>
  </si>
  <si>
    <t>CONSOLIDADO POR MES</t>
  </si>
  <si>
    <t>AÑO</t>
  </si>
  <si>
    <t xml:space="preserve">VENTAS DE CONTADO </t>
  </si>
  <si>
    <t xml:space="preserve">VENTAS CREDITO </t>
  </si>
  <si>
    <t xml:space="preserve">PAGO DE IVA </t>
  </si>
  <si>
    <t xml:space="preserve">PAGO DE RETEFUENTE </t>
  </si>
  <si>
    <t xml:space="preserve">COMPRAS CONTADO </t>
  </si>
  <si>
    <t>COMPRAS A CREDITO</t>
  </si>
  <si>
    <t>MES</t>
  </si>
  <si>
    <t>IVA VENTAS</t>
  </si>
  <si>
    <t>IVA COMPRAS</t>
  </si>
  <si>
    <t xml:space="preserve">VALOR A PAGAR DE IVA </t>
  </si>
  <si>
    <t>MES DE PAGO</t>
  </si>
  <si>
    <t>VENTAS</t>
  </si>
  <si>
    <t>IVA</t>
  </si>
  <si>
    <t>CONTADO VENTAS</t>
  </si>
  <si>
    <t>CREDITO VENTAS</t>
  </si>
  <si>
    <t>IVA POR PARGAR</t>
  </si>
  <si>
    <t xml:space="preserve">PAGO RETEFUENTE </t>
  </si>
  <si>
    <t>CONTADO COMPRAS</t>
  </si>
  <si>
    <t>CREDITO COMPRAS</t>
  </si>
  <si>
    <t>UNIDADES</t>
  </si>
  <si>
    <t>PRECIO DE VENTA</t>
  </si>
  <si>
    <t>VENTA TOTAL</t>
  </si>
  <si>
    <t xml:space="preserve">VENTA MAS IVA </t>
  </si>
  <si>
    <t>MES PAGO CONTADO</t>
  </si>
  <si>
    <t>MES DE PAGO CREDITO</t>
  </si>
  <si>
    <t>COSTO UNITARIO</t>
  </si>
  <si>
    <t>COMPRAS</t>
  </si>
  <si>
    <t>RETEFUENTE</t>
  </si>
  <si>
    <t>COMPRA TOTAL</t>
  </si>
  <si>
    <t>MES DE PAGO CONTADO</t>
  </si>
  <si>
    <t>MES DE PAGO CON CREDITO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</si>
  <si>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</si>
  <si>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</si>
  <si>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</si>
  <si>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</si>
  <si>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</si>
  <si>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</si>
  <si>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</si>
  <si>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</si>
  <si>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</si>
  <si>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</si>
  <si>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</si>
  <si>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</si>
  <si>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VENTAS 2022</t>
  </si>
  <si>
    <t>COMPRAS 2022</t>
  </si>
  <si>
    <t>VENTAS 2023</t>
  </si>
  <si>
    <t>COMPRAS 2023</t>
  </si>
  <si>
    <t xml:space="preserve">BICICLETA TODO TERRENO </t>
  </si>
  <si>
    <t xml:space="preserve">BICICLETA DE MONTAÑA </t>
  </si>
  <si>
    <t xml:space="preserve">BICLICLETA EXPLORER </t>
  </si>
  <si>
    <t xml:space="preserve">Aumento </t>
  </si>
  <si>
    <t>Inflación 2022</t>
  </si>
  <si>
    <t>Inflación 2023</t>
  </si>
  <si>
    <t>Año</t>
  </si>
  <si>
    <t xml:space="preserve">Pago </t>
  </si>
  <si>
    <t>Interés</t>
  </si>
  <si>
    <t>Amortizacion</t>
  </si>
  <si>
    <t>CUOTA</t>
  </si>
  <si>
    <t>INTERÉS</t>
  </si>
  <si>
    <t xml:space="preserve">PAGO </t>
  </si>
  <si>
    <t xml:space="preserve">AMORTIZACIÓN </t>
  </si>
  <si>
    <t xml:space="preserve">SALDO </t>
  </si>
  <si>
    <t xml:space="preserve">NOMINA ADMINISTRADOR 2020 </t>
  </si>
  <si>
    <t>Tipo de riesgo</t>
  </si>
  <si>
    <t xml:space="preserve">Sueldo basico </t>
  </si>
  <si>
    <t>Auxilio de transporte</t>
  </si>
  <si>
    <t xml:space="preserve">Horas extras </t>
  </si>
  <si>
    <t xml:space="preserve">Recargos nocturnos </t>
  </si>
  <si>
    <t xml:space="preserve">Recargos dominicales </t>
  </si>
  <si>
    <t xml:space="preserve">Bases para </t>
  </si>
  <si>
    <t>Total devengado bruto</t>
  </si>
  <si>
    <t>Total sin aux</t>
  </si>
  <si>
    <t xml:space="preserve">Total devengado con deducciones </t>
  </si>
  <si>
    <t xml:space="preserve">Salud </t>
  </si>
  <si>
    <t xml:space="preserve">Empleado </t>
  </si>
  <si>
    <t xml:space="preserve">Empleador </t>
  </si>
  <si>
    <t>Pensión</t>
  </si>
  <si>
    <t>Empleado</t>
  </si>
  <si>
    <t>Riesgos tipo</t>
  </si>
  <si>
    <t xml:space="preserve">Parafiscales </t>
  </si>
  <si>
    <t>SENA</t>
  </si>
  <si>
    <t>ICBF</t>
  </si>
  <si>
    <t>CC</t>
  </si>
  <si>
    <t>Prima</t>
  </si>
  <si>
    <t>Cesantías</t>
  </si>
  <si>
    <t>Interés cesantías</t>
  </si>
  <si>
    <t xml:space="preserve">Vacaciones </t>
  </si>
  <si>
    <t xml:space="preserve">costo mensual </t>
  </si>
  <si>
    <t xml:space="preserve">Costo nómina </t>
  </si>
  <si>
    <t xml:space="preserve">Numero de empleados </t>
  </si>
  <si>
    <t>Trimestre</t>
  </si>
  <si>
    <t>Salidas de dinero por empleado</t>
  </si>
  <si>
    <t xml:space="preserve">Total Salidas de dinero por empleado </t>
  </si>
  <si>
    <t>NOMINA ADMINISTRADOR 2021</t>
  </si>
  <si>
    <t>NOMINA ADMINISTRADOR 2022</t>
  </si>
  <si>
    <t>NOMINA ADMINISTRADOR 2023</t>
  </si>
  <si>
    <t xml:space="preserve">Inflacion </t>
  </si>
  <si>
    <t xml:space="preserve">Inflación </t>
  </si>
  <si>
    <t xml:space="preserve">Arriendo Mensual </t>
  </si>
  <si>
    <t>Local 1</t>
  </si>
  <si>
    <t xml:space="preserve">Local 2 </t>
  </si>
  <si>
    <t>Local 3</t>
  </si>
  <si>
    <t xml:space="preserve">Local 4 </t>
  </si>
  <si>
    <t xml:space="preserve">Oficina </t>
  </si>
  <si>
    <t xml:space="preserve">Arriendo anual </t>
  </si>
  <si>
    <t>TOTAL ARRIENDO</t>
  </si>
  <si>
    <t xml:space="preserve">Servicios Mensuales </t>
  </si>
  <si>
    <t xml:space="preserve">Servicios Anuales </t>
  </si>
  <si>
    <t xml:space="preserve">TOTAL SERVICIOS </t>
  </si>
  <si>
    <t xml:space="preserve">Transporte </t>
  </si>
  <si>
    <t xml:space="preserve">Celular </t>
  </si>
  <si>
    <t xml:space="preserve">Aseo </t>
  </si>
  <si>
    <t xml:space="preserve">Mantenimiento </t>
  </si>
  <si>
    <t xml:space="preserve">Gastos Mensuales </t>
  </si>
  <si>
    <t xml:space="preserve">TOTAL GASTOS </t>
  </si>
  <si>
    <t xml:space="preserve">Gastos  Anuales </t>
  </si>
  <si>
    <t>VENTAS ANTES DE IMPUESTOS</t>
  </si>
  <si>
    <t xml:space="preserve">Gastos de Ventas </t>
  </si>
  <si>
    <t xml:space="preserve">Ventas totales antes de impuesto </t>
  </si>
  <si>
    <t>Publicidad</t>
  </si>
  <si>
    <t xml:space="preserve">Comisión vendedores </t>
  </si>
  <si>
    <t>TOTAL GASTO DE VENTAS</t>
  </si>
  <si>
    <t xml:space="preserve">PRESUPUESTO DE EFECTIVO 2021-2022-2023 </t>
  </si>
  <si>
    <t xml:space="preserve">Año </t>
  </si>
  <si>
    <t>SALDO INICIAL DE EFECTIVO</t>
  </si>
  <si>
    <t>FLUJO NETO DE EFECTIVO POR ACTIVIDADES DE OPERACIÓN</t>
  </si>
  <si>
    <t xml:space="preserve">INGRESOS OPERATIVOS </t>
  </si>
  <si>
    <t>VENTAS A CONTADO</t>
  </si>
  <si>
    <t>VENTAS A CRÉDITO</t>
  </si>
  <si>
    <t>SUB TOTAL INGRESOS</t>
  </si>
  <si>
    <t xml:space="preserve">EGRESOS OPERATIVOS </t>
  </si>
  <si>
    <t>PAGO CONTADO A PROVEEDORES</t>
  </si>
  <si>
    <t xml:space="preserve">PAGO CRÉDITO A PROVEEDORES </t>
  </si>
  <si>
    <t>PAGO RETEFUENTE</t>
  </si>
  <si>
    <t>PAGO IVA</t>
  </si>
  <si>
    <t>SUB TOTAL EGRESOS</t>
  </si>
  <si>
    <t>FLUJO NETO DE EFECTIVO POR OPERACIÓN</t>
  </si>
  <si>
    <t>FLUJO NETO DE EFECTIVO POR ACTIVIDADES DE INVERSIÓN</t>
  </si>
  <si>
    <t xml:space="preserve">INGRESOS DE INVERSIÓN </t>
  </si>
  <si>
    <t xml:space="preserve">EGRESOS DE INVERSIÓN </t>
  </si>
  <si>
    <t xml:space="preserve">SUB TOTAL EGRESOS </t>
  </si>
  <si>
    <t>FLUJO NETO DE EFECTIVO POR INVERSIÓN</t>
  </si>
  <si>
    <t>FLUJO NETO DE EFECTIVO POR ACTIVIDADES DE FINANCIACIÓN</t>
  </si>
  <si>
    <t xml:space="preserve">INGRESOS DE FINANCIACIÓN </t>
  </si>
  <si>
    <t>OBTENCIÓN DE CRÉDITOS BANCARIOS</t>
  </si>
  <si>
    <t>SUBTOTAL DE INGRESOS</t>
  </si>
  <si>
    <t xml:space="preserve">EGRESOS DE FINANCIACIÓN </t>
  </si>
  <si>
    <t>PAGO DE INTERESES</t>
  </si>
  <si>
    <t>PAGO DE AMORTIZACIONES</t>
  </si>
  <si>
    <t>SUBTOTAL DE EGRESOS</t>
  </si>
  <si>
    <t>FLUJO NETO DE EFECTIVO POR  FINANCIACIÓN</t>
  </si>
  <si>
    <t>FLUJO NETO TOTAL</t>
  </si>
  <si>
    <t>SALDO MÍNIMO DE CAJA REQUERIDO</t>
  </si>
  <si>
    <t>VALOR POR INVERTIR</t>
  </si>
  <si>
    <t>VALOR POR FINANCIAR</t>
  </si>
  <si>
    <t xml:space="preserve">Ventas antes de impuestos </t>
  </si>
  <si>
    <t>Ventas contado</t>
  </si>
  <si>
    <t xml:space="preserve">Ventas credito </t>
  </si>
  <si>
    <t xml:space="preserve">Pago IVA </t>
  </si>
  <si>
    <t xml:space="preserve">Pago retefuente </t>
  </si>
  <si>
    <t xml:space="preserve">Compras contado </t>
  </si>
  <si>
    <t>Compras crédito</t>
  </si>
  <si>
    <t xml:space="preserve">SALARIO GERENTE </t>
  </si>
  <si>
    <t xml:space="preserve">Consolidado nómina </t>
  </si>
  <si>
    <t xml:space="preserve">Por un trabajador </t>
  </si>
  <si>
    <t>Cantidad de trabajadores</t>
  </si>
  <si>
    <t>Total nomina</t>
  </si>
  <si>
    <t>SALARIO ADMINISTRADORES</t>
  </si>
  <si>
    <t>SALARIO VENDEDORES</t>
  </si>
  <si>
    <t xml:space="preserve">ARRIENDOS </t>
  </si>
  <si>
    <t xml:space="preserve">GASTOS EN VENTAS </t>
  </si>
  <si>
    <t xml:space="preserve">OTROS GASTOS </t>
  </si>
  <si>
    <t xml:space="preserve">SERVICIOS PÚBLICOS </t>
  </si>
  <si>
    <t>COMPRA DE MUEBLES Y ENSERES</t>
  </si>
  <si>
    <t>INVERSIONES</t>
  </si>
  <si>
    <t xml:space="preserve">RENTABILIDAD INVERSIONES </t>
  </si>
  <si>
    <t>NOMINA VENDEDOR 2021</t>
  </si>
  <si>
    <t>NOMINA GERENTE 2022</t>
  </si>
  <si>
    <t>NOMINA VENDEDORES 2023</t>
  </si>
  <si>
    <t>NOMINA GERENTE 2023</t>
  </si>
  <si>
    <t>NOMINA GERENTE 2021</t>
  </si>
  <si>
    <t xml:space="preserve">NOMINA GERENTE 2020 </t>
  </si>
  <si>
    <t xml:space="preserve">NOMINA VENDEDORES 2020 </t>
  </si>
  <si>
    <t>NOMINA VENDEDORES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</si>
</sst>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0.0%"/>
    <numFmt numFmtId="165" formatCode="_-&quot;$&quot;\ * #,##0.00_-;\-&quot;$&quot;\ * #,##0.00_-;_-&quot;$&quot;\ * &quot;-&quot;??_-;_-@"/>
    <numFmt numFmtId="166" formatCode="&quot;$&quot;\ #,##0"/>
    <numFmt numFmtId="167" formatCode="0.000%"/>
    <numFmt numFmtId="168" formatCode="_-&quot;$&quot;\ * #,##0.00_-;\-&quot;$&quot;\ * #,##0.00_-;_-&quot;$&quot;\ * &quot;-&quot;_-;_-@_-"/>
    <numFmt numFmtId="169" formatCode="_-&quot;$&quot;* #,##0_-;\-&quot;$&quot;* #,##0_-;_-&quot;$&quot;* &quot;-&quot;_-;_-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 "/>
    </font>
    <font>
      <b/>
      <sz val="10"/>
      <color theme="1"/>
      <name val="Arial Narrow "/>
    </font>
    <font>
      <sz val="10"/>
      <name val="Arial Narrow 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u/>
      <sz val="11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28">
    <xf numFmtId="0" fontId="0" fillId="0" borderId="0" xfId="0"/>
    <xf numFmtId="0" fontId="3" fillId="0" borderId="1" xfId="3" applyFont="1" applyFill="1" applyBorder="1" applyAlignment="1"/>
    <xf numFmtId="0" fontId="3" fillId="0" borderId="0" xfId="3" applyFont="1" applyFill="1" applyBorder="1" applyAlignment="1"/>
    <xf numFmtId="0" fontId="3" fillId="0" borderId="2" xfId="3" applyFont="1" applyFill="1" applyBorder="1" applyAlignment="1"/>
    <xf numFmtId="0" fontId="3" fillId="0" borderId="0" xfId="3" applyFont="1" applyFill="1" applyAlignment="1"/>
    <xf numFmtId="0" fontId="3" fillId="0" borderId="0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9" xfId="3" applyFont="1" applyFill="1" applyBorder="1" applyAlignment="1"/>
    <xf numFmtId="165" fontId="3" fillId="0" borderId="10" xfId="3" applyNumberFormat="1" applyFont="1" applyFill="1" applyBorder="1" applyAlignment="1"/>
    <xf numFmtId="165" fontId="3" fillId="0" borderId="11" xfId="3" applyNumberFormat="1" applyFont="1" applyFill="1" applyBorder="1" applyAlignment="1"/>
    <xf numFmtId="0" fontId="3" fillId="0" borderId="15" xfId="3" applyFont="1" applyFill="1" applyBorder="1"/>
    <xf numFmtId="165" fontId="3" fillId="0" borderId="15" xfId="3" applyNumberFormat="1" applyFont="1" applyFill="1" applyBorder="1"/>
    <xf numFmtId="165" fontId="3" fillId="0" borderId="6" xfId="3" applyNumberFormat="1" applyFont="1" applyFill="1" applyBorder="1"/>
    <xf numFmtId="44" fontId="3" fillId="0" borderId="10" xfId="3" applyNumberFormat="1" applyFont="1" applyFill="1" applyBorder="1" applyAlignment="1"/>
    <xf numFmtId="0" fontId="3" fillId="0" borderId="8" xfId="3" applyFont="1" applyFill="1" applyBorder="1"/>
    <xf numFmtId="0" fontId="3" fillId="0" borderId="10" xfId="3" applyFont="1" applyFill="1" applyBorder="1"/>
    <xf numFmtId="165" fontId="3" fillId="0" borderId="10" xfId="3" applyNumberFormat="1" applyFont="1" applyFill="1" applyBorder="1"/>
    <xf numFmtId="0" fontId="3" fillId="0" borderId="11" xfId="3" applyFont="1" applyFill="1" applyBorder="1"/>
    <xf numFmtId="0" fontId="3" fillId="0" borderId="4" xfId="3" applyFont="1" applyFill="1" applyBorder="1"/>
    <xf numFmtId="165" fontId="3" fillId="0" borderId="4" xfId="3" applyNumberFormat="1" applyFont="1" applyFill="1" applyBorder="1"/>
    <xf numFmtId="165" fontId="3" fillId="0" borderId="4" xfId="3" applyNumberFormat="1" applyFont="1" applyFill="1" applyBorder="1" applyAlignment="1">
      <alignment horizontal="center"/>
    </xf>
    <xf numFmtId="0" fontId="3" fillId="0" borderId="4" xfId="3" applyFont="1" applyFill="1" applyBorder="1" applyAlignment="1"/>
    <xf numFmtId="0" fontId="3" fillId="0" borderId="5" xfId="3" applyFont="1" applyFill="1" applyBorder="1" applyAlignment="1"/>
    <xf numFmtId="44" fontId="3" fillId="0" borderId="11" xfId="3" applyNumberFormat="1" applyFont="1" applyFill="1" applyBorder="1" applyAlignment="1"/>
    <xf numFmtId="0" fontId="3" fillId="0" borderId="11" xfId="3" applyFont="1" applyFill="1" applyBorder="1" applyAlignment="1"/>
    <xf numFmtId="165" fontId="3" fillId="0" borderId="8" xfId="3" applyNumberFormat="1" applyFont="1" applyFill="1" applyBorder="1"/>
    <xf numFmtId="165" fontId="3" fillId="0" borderId="11" xfId="3" applyNumberFormat="1" applyFont="1" applyFill="1" applyBorder="1"/>
    <xf numFmtId="0" fontId="3" fillId="0" borderId="21" xfId="3" applyFont="1" applyFill="1" applyBorder="1" applyAlignment="1"/>
    <xf numFmtId="42" fontId="3" fillId="0" borderId="22" xfId="1" applyFont="1" applyFill="1" applyBorder="1" applyAlignment="1"/>
    <xf numFmtId="42" fontId="3" fillId="0" borderId="23" xfId="1" applyFont="1" applyFill="1" applyBorder="1" applyAlignment="1"/>
    <xf numFmtId="0" fontId="3" fillId="0" borderId="14" xfId="3" applyFont="1" applyFill="1" applyBorder="1"/>
    <xf numFmtId="0" fontId="3" fillId="0" borderId="22" xfId="3" applyFont="1" applyFill="1" applyBorder="1"/>
    <xf numFmtId="165" fontId="3" fillId="0" borderId="22" xfId="3" applyNumberFormat="1" applyFont="1" applyFill="1" applyBorder="1"/>
    <xf numFmtId="165" fontId="3" fillId="0" borderId="23" xfId="3" applyNumberFormat="1" applyFont="1" applyFill="1" applyBorder="1"/>
    <xf numFmtId="0" fontId="4" fillId="0" borderId="0" xfId="3" applyFont="1" applyFill="1" applyBorder="1"/>
    <xf numFmtId="0" fontId="3" fillId="0" borderId="0" xfId="3" applyFont="1" applyFill="1" applyBorder="1"/>
    <xf numFmtId="165" fontId="3" fillId="0" borderId="0" xfId="3" applyNumberFormat="1" applyFont="1" applyFill="1" applyBorder="1"/>
    <xf numFmtId="0" fontId="3" fillId="0" borderId="6" xfId="3" applyFont="1" applyFill="1" applyBorder="1"/>
    <xf numFmtId="0" fontId="3" fillId="0" borderId="10" xfId="3" applyFont="1" applyFill="1" applyBorder="1" applyAlignment="1"/>
    <xf numFmtId="44" fontId="3" fillId="0" borderId="4" xfId="3" applyNumberFormat="1" applyFont="1" applyFill="1" applyBorder="1" applyAlignment="1"/>
    <xf numFmtId="165" fontId="3" fillId="0" borderId="5" xfId="3" applyNumberFormat="1" applyFont="1" applyFill="1" applyBorder="1"/>
    <xf numFmtId="0" fontId="4" fillId="0" borderId="11" xfId="3" applyFont="1" applyFill="1" applyBorder="1" applyAlignment="1">
      <alignment vertical="center"/>
    </xf>
    <xf numFmtId="44" fontId="3" fillId="0" borderId="22" xfId="3" applyNumberFormat="1" applyFont="1" applyFill="1" applyBorder="1" applyAlignment="1"/>
    <xf numFmtId="44" fontId="3" fillId="0" borderId="23" xfId="3" applyNumberFormat="1" applyFont="1" applyFill="1" applyBorder="1" applyAlignment="1"/>
    <xf numFmtId="165" fontId="3" fillId="0" borderId="4" xfId="3" applyNumberFormat="1" applyFont="1" applyFill="1" applyBorder="1" applyAlignment="1"/>
    <xf numFmtId="44" fontId="3" fillId="0" borderId="5" xfId="3" applyNumberFormat="1" applyFont="1" applyFill="1" applyBorder="1" applyAlignment="1"/>
    <xf numFmtId="165" fontId="3" fillId="0" borderId="22" xfId="3" applyNumberFormat="1" applyFont="1" applyFill="1" applyBorder="1" applyAlignment="1"/>
    <xf numFmtId="0" fontId="3" fillId="0" borderId="23" xfId="3" applyFont="1" applyFill="1" applyBorder="1" applyAlignment="1"/>
    <xf numFmtId="165" fontId="3" fillId="0" borderId="23" xfId="3" applyNumberFormat="1" applyFont="1" applyFill="1" applyBorder="1" applyAlignment="1"/>
    <xf numFmtId="0" fontId="3" fillId="0" borderId="4" xfId="3" applyFont="1" applyFill="1" applyBorder="1" applyAlignment="1">
      <alignment horizontal="center" vertical="center"/>
    </xf>
    <xf numFmtId="165" fontId="3" fillId="0" borderId="5" xfId="3" applyNumberFormat="1" applyFont="1" applyFill="1" applyBorder="1" applyAlignment="1"/>
    <xf numFmtId="0" fontId="4" fillId="0" borderId="22" xfId="3" applyFont="1" applyFill="1" applyBorder="1" applyAlignment="1">
      <alignment vertical="center"/>
    </xf>
    <xf numFmtId="0" fontId="4" fillId="0" borderId="22" xfId="3" applyFont="1" applyFill="1" applyBorder="1" applyAlignment="1">
      <alignment vertical="center" wrapText="1"/>
    </xf>
    <xf numFmtId="0" fontId="4" fillId="0" borderId="23" xfId="3" applyFont="1" applyFill="1" applyBorder="1" applyAlignment="1">
      <alignment vertical="center"/>
    </xf>
    <xf numFmtId="0" fontId="3" fillId="0" borderId="22" xfId="3" applyFont="1" applyFill="1" applyBorder="1" applyAlignment="1"/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65" fontId="3" fillId="0" borderId="0" xfId="3" applyNumberFormat="1" applyFont="1" applyFill="1" applyAlignment="1"/>
    <xf numFmtId="0" fontId="3" fillId="0" borderId="24" xfId="3" applyFont="1" applyFill="1" applyBorder="1" applyAlignment="1"/>
    <xf numFmtId="0" fontId="4" fillId="0" borderId="25" xfId="3" applyFont="1" applyFill="1" applyBorder="1"/>
    <xf numFmtId="0" fontId="3" fillId="0" borderId="25" xfId="3" applyFont="1" applyFill="1" applyBorder="1" applyAlignment="1"/>
    <xf numFmtId="165" fontId="3" fillId="0" borderId="25" xfId="3" applyNumberFormat="1" applyFont="1" applyFill="1" applyBorder="1"/>
    <xf numFmtId="0" fontId="3" fillId="0" borderId="25" xfId="3" applyFont="1" applyFill="1" applyBorder="1"/>
    <xf numFmtId="0" fontId="3" fillId="0" borderId="26" xfId="3" applyFont="1" applyFill="1" applyBorder="1" applyAlignment="1"/>
    <xf numFmtId="44" fontId="3" fillId="0" borderId="0" xfId="3" applyNumberFormat="1" applyFont="1" applyFill="1" applyBorder="1" applyAlignment="1"/>
    <xf numFmtId="10" fontId="3" fillId="0" borderId="0" xfId="3" applyNumberFormat="1" applyFont="1" applyFill="1" applyBorder="1" applyAlignment="1"/>
    <xf numFmtId="9" fontId="3" fillId="0" borderId="0" xfId="3" applyNumberFormat="1" applyFont="1" applyFill="1" applyBorder="1" applyAlignment="1"/>
    <xf numFmtId="9" fontId="3" fillId="0" borderId="0" xfId="3" applyNumberFormat="1" applyFont="1" applyFill="1" applyBorder="1"/>
    <xf numFmtId="0" fontId="7" fillId="0" borderId="0" xfId="0" applyFont="1"/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/>
    <xf numFmtId="0" fontId="7" fillId="0" borderId="10" xfId="0" applyFont="1" applyBorder="1" applyAlignment="1">
      <alignment horizontal="center"/>
    </xf>
    <xf numFmtId="8" fontId="7" fillId="0" borderId="1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0" xfId="0" applyNumberFormat="1" applyFont="1" applyBorder="1"/>
    <xf numFmtId="0" fontId="7" fillId="4" borderId="12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0" borderId="33" xfId="0" applyFont="1" applyFill="1" applyBorder="1"/>
    <xf numFmtId="42" fontId="7" fillId="0" borderId="34" xfId="0" applyNumberFormat="1" applyFont="1" applyFill="1" applyBorder="1"/>
    <xf numFmtId="165" fontId="7" fillId="0" borderId="34" xfId="0" applyNumberFormat="1" applyFont="1" applyFill="1" applyBorder="1"/>
    <xf numFmtId="8" fontId="7" fillId="0" borderId="34" xfId="0" applyNumberFormat="1" applyFont="1" applyFill="1" applyBorder="1"/>
    <xf numFmtId="165" fontId="7" fillId="0" borderId="35" xfId="0" applyNumberFormat="1" applyFont="1" applyFill="1" applyBorder="1"/>
    <xf numFmtId="0" fontId="7" fillId="0" borderId="8" xfId="0" applyFont="1" applyFill="1" applyBorder="1"/>
    <xf numFmtId="42" fontId="7" fillId="0" borderId="15" xfId="0" applyNumberFormat="1" applyFont="1" applyFill="1" applyBorder="1"/>
    <xf numFmtId="165" fontId="7" fillId="0" borderId="15" xfId="0" applyNumberFormat="1" applyFont="1" applyFill="1" applyBorder="1"/>
    <xf numFmtId="8" fontId="7" fillId="0" borderId="15" xfId="0" applyNumberFormat="1" applyFont="1" applyFill="1" applyBorder="1"/>
    <xf numFmtId="165" fontId="7" fillId="0" borderId="36" xfId="0" applyNumberFormat="1" applyFont="1" applyFill="1" applyBorder="1"/>
    <xf numFmtId="0" fontId="7" fillId="0" borderId="0" xfId="0" applyFont="1" applyFill="1" applyBorder="1"/>
    <xf numFmtId="0" fontId="7" fillId="0" borderId="37" xfId="0" applyFont="1" applyFill="1" applyBorder="1"/>
    <xf numFmtId="42" fontId="7" fillId="0" borderId="38" xfId="0" applyNumberFormat="1" applyFont="1" applyFill="1" applyBorder="1"/>
    <xf numFmtId="165" fontId="7" fillId="0" borderId="38" xfId="0" applyNumberFormat="1" applyFont="1" applyFill="1" applyBorder="1"/>
    <xf numFmtId="8" fontId="7" fillId="0" borderId="38" xfId="0" applyNumberFormat="1" applyFont="1" applyFill="1" applyBorder="1"/>
    <xf numFmtId="165" fontId="7" fillId="0" borderId="39" xfId="0" applyNumberFormat="1" applyFont="1" applyFill="1" applyBorder="1"/>
    <xf numFmtId="0" fontId="7" fillId="0" borderId="34" xfId="0" applyFont="1" applyFill="1" applyBorder="1"/>
    <xf numFmtId="0" fontId="7" fillId="0" borderId="15" xfId="0" applyFont="1" applyFill="1" applyBorder="1"/>
    <xf numFmtId="0" fontId="7" fillId="0" borderId="38" xfId="0" applyFont="1" applyFill="1" applyBorder="1"/>
    <xf numFmtId="42" fontId="0" fillId="0" borderId="0" xfId="1" applyFont="1" applyBorder="1"/>
    <xf numFmtId="42" fontId="0" fillId="0" borderId="2" xfId="1" applyFont="1" applyBorder="1"/>
    <xf numFmtId="42" fontId="0" fillId="0" borderId="0" xfId="0" applyNumberFormat="1" applyBorder="1"/>
    <xf numFmtId="42" fontId="0" fillId="0" borderId="2" xfId="0" applyNumberFormat="1" applyBorder="1"/>
    <xf numFmtId="44" fontId="0" fillId="0" borderId="0" xfId="0" applyNumberFormat="1" applyBorder="1"/>
    <xf numFmtId="42" fontId="0" fillId="0" borderId="0" xfId="1" applyFont="1"/>
    <xf numFmtId="42" fontId="0" fillId="0" borderId="0" xfId="0" applyNumberFormat="1"/>
    <xf numFmtId="0" fontId="0" fillId="3" borderId="0" xfId="0" applyFill="1"/>
    <xf numFmtId="0" fontId="7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7" fillId="6" borderId="43" xfId="0" applyFont="1" applyFill="1" applyBorder="1"/>
    <xf numFmtId="0" fontId="7" fillId="6" borderId="44" xfId="0" applyFont="1" applyFill="1" applyBorder="1"/>
    <xf numFmtId="0" fontId="7" fillId="0" borderId="2" xfId="0" applyFont="1" applyFill="1" applyBorder="1"/>
    <xf numFmtId="169" fontId="11" fillId="0" borderId="0" xfId="0" applyNumberFormat="1" applyFont="1" applyFill="1" applyBorder="1"/>
    <xf numFmtId="169" fontId="11" fillId="0" borderId="2" xfId="0" applyNumberFormat="1" applyFont="1" applyFill="1" applyBorder="1"/>
    <xf numFmtId="0" fontId="13" fillId="6" borderId="0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0" fontId="11" fillId="0" borderId="2" xfId="0" applyFont="1" applyFill="1" applyBorder="1"/>
    <xf numFmtId="169" fontId="11" fillId="4" borderId="0" xfId="0" applyNumberFormat="1" applyFont="1" applyFill="1" applyBorder="1"/>
    <xf numFmtId="169" fontId="11" fillId="4" borderId="2" xfId="0" applyNumberFormat="1" applyFont="1" applyFill="1" applyBorder="1"/>
    <xf numFmtId="169" fontId="7" fillId="0" borderId="0" xfId="0" applyNumberFormat="1" applyFont="1" applyFill="1" applyBorder="1"/>
    <xf numFmtId="169" fontId="7" fillId="0" borderId="2" xfId="0" applyNumberFormat="1" applyFont="1" applyFill="1" applyBorder="1"/>
    <xf numFmtId="169" fontId="7" fillId="4" borderId="0" xfId="0" applyNumberFormat="1" applyFont="1" applyFill="1" applyBorder="1"/>
    <xf numFmtId="169" fontId="7" fillId="4" borderId="2" xfId="0" applyNumberFormat="1" applyFont="1" applyFill="1" applyBorder="1"/>
    <xf numFmtId="169" fontId="7" fillId="3" borderId="0" xfId="0" applyNumberFormat="1" applyFont="1" applyFill="1" applyBorder="1"/>
    <xf numFmtId="169" fontId="7" fillId="3" borderId="2" xfId="0" applyNumberFormat="1" applyFont="1" applyFill="1" applyBorder="1"/>
    <xf numFmtId="0" fontId="16" fillId="0" borderId="1" xfId="0" applyFont="1" applyFill="1" applyBorder="1" applyAlignment="1">
      <alignment horizontal="center"/>
    </xf>
    <xf numFmtId="169" fontId="7" fillId="6" borderId="0" xfId="0" applyNumberFormat="1" applyFont="1" applyFill="1" applyBorder="1"/>
    <xf numFmtId="42" fontId="7" fillId="0" borderId="0" xfId="1" applyFont="1" applyFill="1" applyBorder="1"/>
    <xf numFmtId="0" fontId="10" fillId="3" borderId="1" xfId="0" applyFont="1" applyFill="1" applyBorder="1"/>
    <xf numFmtId="0" fontId="11" fillId="3" borderId="0" xfId="0" applyFont="1" applyFill="1" applyBorder="1"/>
    <xf numFmtId="169" fontId="11" fillId="3" borderId="0" xfId="0" applyNumberFormat="1" applyFont="1" applyFill="1" applyBorder="1"/>
    <xf numFmtId="169" fontId="11" fillId="3" borderId="2" xfId="0" applyNumberFormat="1" applyFont="1" applyFill="1" applyBorder="1"/>
    <xf numFmtId="0" fontId="10" fillId="0" borderId="1" xfId="0" applyFont="1" applyFill="1" applyBorder="1"/>
    <xf numFmtId="42" fontId="11" fillId="0" borderId="0" xfId="1" applyFont="1" applyFill="1" applyBorder="1"/>
    <xf numFmtId="165" fontId="11" fillId="0" borderId="0" xfId="0" applyNumberFormat="1" applyFont="1" applyFill="1" applyBorder="1"/>
    <xf numFmtId="165" fontId="11" fillId="0" borderId="2" xfId="0" applyNumberFormat="1" applyFont="1" applyFill="1" applyBorder="1"/>
    <xf numFmtId="165" fontId="11" fillId="4" borderId="0" xfId="0" applyNumberFormat="1" applyFont="1" applyFill="1" applyBorder="1"/>
    <xf numFmtId="165" fontId="11" fillId="4" borderId="2" xfId="0" applyNumberFormat="1" applyFont="1" applyFill="1" applyBorder="1"/>
    <xf numFmtId="165" fontId="16" fillId="3" borderId="0" xfId="0" applyNumberFormat="1" applyFont="1" applyFill="1" applyBorder="1"/>
    <xf numFmtId="165" fontId="16" fillId="3" borderId="2" xfId="0" applyNumberFormat="1" applyFont="1" applyFill="1" applyBorder="1"/>
    <xf numFmtId="169" fontId="10" fillId="8" borderId="0" xfId="0" applyNumberFormat="1" applyFont="1" applyFill="1" applyBorder="1"/>
    <xf numFmtId="169" fontId="10" fillId="8" borderId="2" xfId="0" applyNumberFormat="1" applyFont="1" applyFill="1" applyBorder="1"/>
    <xf numFmtId="42" fontId="11" fillId="0" borderId="2" xfId="1" applyFont="1" applyFill="1" applyBorder="1"/>
    <xf numFmtId="0" fontId="11" fillId="0" borderId="25" xfId="0" applyFont="1" applyFill="1" applyBorder="1"/>
    <xf numFmtId="0" fontId="11" fillId="0" borderId="26" xfId="0" applyFont="1" applyFill="1" applyBorder="1"/>
    <xf numFmtId="168" fontId="0" fillId="0" borderId="0" xfId="0" applyNumberFormat="1"/>
    <xf numFmtId="44" fontId="0" fillId="3" borderId="0" xfId="0" applyNumberFormat="1" applyFill="1"/>
    <xf numFmtId="0" fontId="7" fillId="0" borderId="10" xfId="0" applyFont="1" applyBorder="1"/>
    <xf numFmtId="0" fontId="7" fillId="3" borderId="10" xfId="0" applyFont="1" applyFill="1" applyBorder="1"/>
    <xf numFmtId="42" fontId="7" fillId="0" borderId="10" xfId="1" applyFont="1" applyBorder="1"/>
    <xf numFmtId="0" fontId="12" fillId="0" borderId="0" xfId="0" applyFont="1" applyFill="1" applyBorder="1"/>
    <xf numFmtId="0" fontId="12" fillId="0" borderId="2" xfId="0" applyFont="1" applyFill="1" applyBorder="1"/>
    <xf numFmtId="0" fontId="9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4" fillId="9" borderId="15" xfId="3" applyFont="1" applyFill="1" applyBorder="1"/>
    <xf numFmtId="0" fontId="4" fillId="9" borderId="6" xfId="3" applyFont="1" applyFill="1" applyBorder="1"/>
    <xf numFmtId="0" fontId="4" fillId="9" borderId="15" xfId="3" applyFont="1" applyFill="1" applyBorder="1" applyAlignment="1">
      <alignment horizontal="center" vertical="center"/>
    </xf>
    <xf numFmtId="9" fontId="4" fillId="9" borderId="15" xfId="3" applyNumberFormat="1" applyFont="1" applyFill="1" applyBorder="1" applyAlignment="1">
      <alignment horizontal="center" vertical="center"/>
    </xf>
    <xf numFmtId="0" fontId="4" fillId="10" borderId="15" xfId="3" applyFont="1" applyFill="1" applyBorder="1" applyAlignment="1">
      <alignment horizontal="center" vertical="center"/>
    </xf>
    <xf numFmtId="9" fontId="4" fillId="10" borderId="15" xfId="3" applyNumberFormat="1" applyFont="1" applyFill="1" applyBorder="1" applyAlignment="1">
      <alignment horizontal="center" vertical="center"/>
    </xf>
    <xf numFmtId="164" fontId="4" fillId="10" borderId="15" xfId="3" applyNumberFormat="1" applyFont="1" applyFill="1" applyBorder="1" applyAlignment="1">
      <alignment horizontal="center" vertical="center"/>
    </xf>
    <xf numFmtId="9" fontId="4" fillId="10" borderId="14" xfId="3" applyNumberFormat="1" applyFont="1" applyFill="1" applyBorder="1" applyAlignment="1">
      <alignment horizontal="center" vertical="center"/>
    </xf>
    <xf numFmtId="0" fontId="4" fillId="10" borderId="15" xfId="3" applyFont="1" applyFill="1" applyBorder="1"/>
    <xf numFmtId="0" fontId="3" fillId="3" borderId="43" xfId="3" applyFont="1" applyFill="1" applyBorder="1" applyAlignment="1"/>
    <xf numFmtId="0" fontId="3" fillId="3" borderId="44" xfId="3" applyFont="1" applyFill="1" applyBorder="1" applyAlignment="1"/>
    <xf numFmtId="0" fontId="3" fillId="3" borderId="45" xfId="3" applyFont="1" applyFill="1" applyBorder="1" applyAlignment="1"/>
    <xf numFmtId="0" fontId="3" fillId="3" borderId="1" xfId="3" applyFont="1" applyFill="1" applyBorder="1" applyAlignment="1"/>
    <xf numFmtId="42" fontId="3" fillId="0" borderId="0" xfId="1" applyFont="1" applyFill="1" applyBorder="1" applyAlignment="1"/>
    <xf numFmtId="42" fontId="3" fillId="0" borderId="2" xfId="1" applyFont="1" applyFill="1" applyBorder="1" applyAlignment="1"/>
    <xf numFmtId="0" fontId="3" fillId="3" borderId="24" xfId="3" applyFont="1" applyFill="1" applyBorder="1" applyAlignment="1"/>
    <xf numFmtId="42" fontId="3" fillId="0" borderId="25" xfId="1" applyFont="1" applyFill="1" applyBorder="1" applyAlignment="1"/>
    <xf numFmtId="42" fontId="3" fillId="0" borderId="26" xfId="1" applyFont="1" applyFill="1" applyBorder="1" applyAlignment="1"/>
    <xf numFmtId="0" fontId="0" fillId="11" borderId="1" xfId="0" applyFill="1" applyBorder="1"/>
    <xf numFmtId="0" fontId="0" fillId="11" borderId="0" xfId="0" applyFill="1" applyBorder="1"/>
    <xf numFmtId="9" fontId="0" fillId="11" borderId="0" xfId="0" applyNumberFormat="1" applyFill="1" applyBorder="1"/>
    <xf numFmtId="9" fontId="0" fillId="11" borderId="2" xfId="0" applyNumberFormat="1" applyFill="1" applyBorder="1"/>
    <xf numFmtId="0" fontId="0" fillId="11" borderId="2" xfId="0" applyFill="1" applyBorder="1"/>
    <xf numFmtId="42" fontId="0" fillId="6" borderId="0" xfId="1" applyFont="1" applyFill="1" applyBorder="1"/>
    <xf numFmtId="0" fontId="0" fillId="11" borderId="24" xfId="0" applyFill="1" applyBorder="1"/>
    <xf numFmtId="42" fontId="0" fillId="0" borderId="25" xfId="1" applyFont="1" applyBorder="1"/>
    <xf numFmtId="42" fontId="0" fillId="0" borderId="26" xfId="1" applyFont="1" applyBorder="1"/>
    <xf numFmtId="0" fontId="0" fillId="11" borderId="1" xfId="0" applyFill="1" applyBorder="1" applyAlignment="1">
      <alignment horizontal="center"/>
    </xf>
    <xf numFmtId="0" fontId="0" fillId="3" borderId="24" xfId="0" applyFill="1" applyBorder="1"/>
    <xf numFmtId="42" fontId="0" fillId="3" borderId="25" xfId="0" applyNumberFormat="1" applyFill="1" applyBorder="1"/>
    <xf numFmtId="42" fontId="0" fillId="3" borderId="26" xfId="0" applyNumberFormat="1" applyFill="1" applyBorder="1"/>
    <xf numFmtId="42" fontId="0" fillId="11" borderId="1" xfId="1" applyFont="1" applyFill="1" applyBorder="1"/>
    <xf numFmtId="10" fontId="0" fillId="11" borderId="0" xfId="0" applyNumberFormat="1" applyFill="1" applyBorder="1"/>
    <xf numFmtId="44" fontId="0" fillId="0" borderId="2" xfId="0" applyNumberFormat="1" applyBorder="1"/>
    <xf numFmtId="42" fontId="0" fillId="3" borderId="24" xfId="1" applyFont="1" applyFill="1" applyBorder="1"/>
    <xf numFmtId="0" fontId="0" fillId="3" borderId="25" xfId="0" applyFill="1" applyBorder="1"/>
    <xf numFmtId="0" fontId="0" fillId="12" borderId="43" xfId="0" applyFill="1" applyBorder="1" applyAlignment="1"/>
    <xf numFmtId="0" fontId="0" fillId="12" borderId="44" xfId="0" applyFill="1" applyBorder="1" applyAlignment="1"/>
    <xf numFmtId="0" fontId="0" fillId="12" borderId="45" xfId="0" applyFill="1" applyBorder="1" applyAlignment="1"/>
    <xf numFmtId="0" fontId="0" fillId="12" borderId="1" xfId="0" applyFill="1" applyBorder="1"/>
    <xf numFmtId="0" fontId="0" fillId="12" borderId="0" xfId="0" applyFill="1" applyBorder="1"/>
    <xf numFmtId="167" fontId="0" fillId="12" borderId="0" xfId="2" applyNumberFormat="1" applyFont="1" applyFill="1" applyBorder="1"/>
    <xf numFmtId="0" fontId="0" fillId="12" borderId="2" xfId="0" applyFill="1" applyBorder="1"/>
    <xf numFmtId="167" fontId="0" fillId="12" borderId="0" xfId="0" applyNumberFormat="1" applyFill="1" applyBorder="1"/>
    <xf numFmtId="168" fontId="0" fillId="12" borderId="0" xfId="1" applyNumberFormat="1" applyFont="1" applyFill="1" applyBorder="1"/>
    <xf numFmtId="168" fontId="0" fillId="12" borderId="2" xfId="1" applyNumberFormat="1" applyFont="1" applyFill="1" applyBorder="1"/>
    <xf numFmtId="42" fontId="0" fillId="12" borderId="1" xfId="1" applyFont="1" applyFill="1" applyBorder="1"/>
    <xf numFmtId="42" fontId="0" fillId="12" borderId="0" xfId="1" applyFont="1" applyFill="1" applyBorder="1"/>
    <xf numFmtId="42" fontId="0" fillId="12" borderId="2" xfId="1" applyFont="1" applyFill="1" applyBorder="1"/>
    <xf numFmtId="2" fontId="0" fillId="12" borderId="0" xfId="1" applyNumberFormat="1" applyFont="1" applyFill="1" applyBorder="1"/>
    <xf numFmtId="42" fontId="0" fillId="12" borderId="0" xfId="0" applyNumberFormat="1" applyFill="1" applyBorder="1"/>
    <xf numFmtId="42" fontId="0" fillId="12" borderId="2" xfId="0" applyNumberFormat="1" applyFill="1" applyBorder="1"/>
    <xf numFmtId="0" fontId="0" fillId="12" borderId="0" xfId="0" applyFill="1" applyBorder="1" applyAlignment="1">
      <alignment horizontal="right"/>
    </xf>
    <xf numFmtId="0" fontId="0" fillId="12" borderId="0" xfId="0" applyFill="1" applyBorder="1" applyAlignment="1">
      <alignment horizontal="right" vertical="center"/>
    </xf>
    <xf numFmtId="2" fontId="0" fillId="12" borderId="0" xfId="0" applyNumberFormat="1" applyFill="1" applyBorder="1"/>
    <xf numFmtId="2" fontId="0" fillId="12" borderId="2" xfId="0" applyNumberFormat="1" applyFill="1" applyBorder="1"/>
    <xf numFmtId="44" fontId="0" fillId="12" borderId="0" xfId="0" applyNumberFormat="1" applyFill="1" applyBorder="1"/>
    <xf numFmtId="168" fontId="0" fillId="12" borderId="0" xfId="0" applyNumberFormat="1" applyFill="1" applyBorder="1"/>
    <xf numFmtId="168" fontId="0" fillId="12" borderId="2" xfId="0" applyNumberFormat="1" applyFill="1" applyBorder="1"/>
    <xf numFmtId="0" fontId="0" fillId="12" borderId="24" xfId="0" applyFill="1" applyBorder="1"/>
    <xf numFmtId="0" fontId="0" fillId="12" borderId="25" xfId="0" applyFill="1" applyBorder="1"/>
    <xf numFmtId="168" fontId="0" fillId="12" borderId="25" xfId="0" applyNumberFormat="1" applyFill="1" applyBorder="1"/>
    <xf numFmtId="44" fontId="0" fillId="12" borderId="25" xfId="0" applyNumberFormat="1" applyFill="1" applyBorder="1"/>
    <xf numFmtId="0" fontId="0" fillId="12" borderId="26" xfId="0" applyFill="1" applyBorder="1"/>
    <xf numFmtId="0" fontId="0" fillId="13" borderId="43" xfId="0" applyFill="1" applyBorder="1" applyAlignment="1"/>
    <xf numFmtId="0" fontId="0" fillId="13" borderId="44" xfId="0" applyFill="1" applyBorder="1" applyAlignment="1"/>
    <xf numFmtId="0" fontId="0" fillId="13" borderId="45" xfId="0" applyFill="1" applyBorder="1" applyAlignment="1"/>
    <xf numFmtId="0" fontId="0" fillId="13" borderId="1" xfId="0" applyFill="1" applyBorder="1"/>
    <xf numFmtId="0" fontId="0" fillId="13" borderId="0" xfId="0" applyFill="1" applyBorder="1"/>
    <xf numFmtId="167" fontId="0" fillId="13" borderId="0" xfId="2" applyNumberFormat="1" applyFont="1" applyFill="1" applyBorder="1"/>
    <xf numFmtId="0" fontId="0" fillId="13" borderId="2" xfId="0" applyFill="1" applyBorder="1"/>
    <xf numFmtId="167" fontId="0" fillId="13" borderId="0" xfId="0" applyNumberFormat="1" applyFill="1" applyBorder="1"/>
    <xf numFmtId="9" fontId="0" fillId="13" borderId="0" xfId="0" applyNumberFormat="1" applyFill="1" applyBorder="1"/>
    <xf numFmtId="168" fontId="0" fillId="13" borderId="0" xfId="1" applyNumberFormat="1" applyFont="1" applyFill="1" applyBorder="1"/>
    <xf numFmtId="168" fontId="0" fillId="13" borderId="2" xfId="1" applyNumberFormat="1" applyFont="1" applyFill="1" applyBorder="1"/>
    <xf numFmtId="42" fontId="0" fillId="13" borderId="1" xfId="1" applyFont="1" applyFill="1" applyBorder="1"/>
    <xf numFmtId="42" fontId="0" fillId="13" borderId="0" xfId="1" applyFont="1" applyFill="1" applyBorder="1"/>
    <xf numFmtId="42" fontId="0" fillId="13" borderId="2" xfId="1" applyFont="1" applyFill="1" applyBorder="1"/>
    <xf numFmtId="2" fontId="0" fillId="13" borderId="0" xfId="1" applyNumberFormat="1" applyFont="1" applyFill="1" applyBorder="1"/>
    <xf numFmtId="42" fontId="0" fillId="13" borderId="0" xfId="0" applyNumberFormat="1" applyFill="1" applyBorder="1"/>
    <xf numFmtId="42" fontId="0" fillId="13" borderId="2" xfId="0" applyNumberFormat="1" applyFill="1" applyBorder="1"/>
    <xf numFmtId="0" fontId="0" fillId="13" borderId="0" xfId="0" applyFill="1" applyBorder="1" applyAlignment="1">
      <alignment horizontal="right"/>
    </xf>
    <xf numFmtId="0" fontId="0" fillId="13" borderId="0" xfId="0" applyFill="1" applyBorder="1" applyAlignment="1">
      <alignment horizontal="right" vertical="center"/>
    </xf>
    <xf numFmtId="2" fontId="0" fillId="13" borderId="0" xfId="0" applyNumberFormat="1" applyFill="1" applyBorder="1"/>
    <xf numFmtId="2" fontId="0" fillId="13" borderId="2" xfId="0" applyNumberFormat="1" applyFill="1" applyBorder="1"/>
    <xf numFmtId="44" fontId="0" fillId="13" borderId="0" xfId="0" applyNumberFormat="1" applyFill="1" applyBorder="1"/>
    <xf numFmtId="168" fontId="0" fillId="13" borderId="0" xfId="0" applyNumberFormat="1" applyFill="1" applyBorder="1"/>
    <xf numFmtId="168" fontId="0" fillId="13" borderId="2" xfId="0" applyNumberFormat="1" applyFill="1" applyBorder="1"/>
    <xf numFmtId="0" fontId="0" fillId="13" borderId="24" xfId="0" applyFill="1" applyBorder="1"/>
    <xf numFmtId="0" fontId="0" fillId="13" borderId="25" xfId="0" applyFill="1" applyBorder="1"/>
    <xf numFmtId="168" fontId="0" fillId="13" borderId="25" xfId="0" applyNumberFormat="1" applyFill="1" applyBorder="1"/>
    <xf numFmtId="44" fontId="0" fillId="13" borderId="25" xfId="0" applyNumberFormat="1" applyFill="1" applyBorder="1"/>
    <xf numFmtId="0" fontId="0" fillId="13" borderId="26" xfId="0" applyFill="1" applyBorder="1"/>
    <xf numFmtId="0" fontId="0" fillId="14" borderId="43" xfId="0" applyFill="1" applyBorder="1" applyAlignment="1"/>
    <xf numFmtId="0" fontId="0" fillId="14" borderId="44" xfId="0" applyFill="1" applyBorder="1" applyAlignment="1"/>
    <xf numFmtId="0" fontId="0" fillId="14" borderId="45" xfId="0" applyFill="1" applyBorder="1" applyAlignment="1"/>
    <xf numFmtId="0" fontId="0" fillId="14" borderId="1" xfId="0" applyFill="1" applyBorder="1"/>
    <xf numFmtId="0" fontId="0" fillId="14" borderId="0" xfId="0" applyFill="1" applyBorder="1"/>
    <xf numFmtId="167" fontId="0" fillId="14" borderId="0" xfId="2" applyNumberFormat="1" applyFont="1" applyFill="1" applyBorder="1"/>
    <xf numFmtId="0" fontId="0" fillId="14" borderId="2" xfId="0" applyFill="1" applyBorder="1"/>
    <xf numFmtId="167" fontId="0" fillId="14" borderId="0" xfId="0" applyNumberFormat="1" applyFill="1" applyBorder="1"/>
    <xf numFmtId="9" fontId="0" fillId="14" borderId="0" xfId="0" applyNumberFormat="1" applyFill="1" applyBorder="1"/>
    <xf numFmtId="168" fontId="0" fillId="14" borderId="0" xfId="1" applyNumberFormat="1" applyFont="1" applyFill="1" applyBorder="1"/>
    <xf numFmtId="168" fontId="0" fillId="14" borderId="2" xfId="1" applyNumberFormat="1" applyFont="1" applyFill="1" applyBorder="1"/>
    <xf numFmtId="42" fontId="0" fillId="14" borderId="1" xfId="1" applyFont="1" applyFill="1" applyBorder="1"/>
    <xf numFmtId="42" fontId="0" fillId="14" borderId="0" xfId="1" applyFont="1" applyFill="1" applyBorder="1"/>
    <xf numFmtId="42" fontId="0" fillId="14" borderId="2" xfId="1" applyFont="1" applyFill="1" applyBorder="1"/>
    <xf numFmtId="2" fontId="0" fillId="14" borderId="0" xfId="1" applyNumberFormat="1" applyFont="1" applyFill="1" applyBorder="1"/>
    <xf numFmtId="42" fontId="0" fillId="14" borderId="0" xfId="0" applyNumberFormat="1" applyFill="1" applyBorder="1"/>
    <xf numFmtId="42" fontId="0" fillId="14" borderId="2" xfId="0" applyNumberFormat="1" applyFill="1" applyBorder="1"/>
    <xf numFmtId="0" fontId="0" fillId="14" borderId="0" xfId="0" applyFill="1" applyBorder="1" applyAlignment="1">
      <alignment horizontal="right"/>
    </xf>
    <xf numFmtId="0" fontId="0" fillId="14" borderId="0" xfId="0" applyFill="1" applyBorder="1" applyAlignment="1">
      <alignment horizontal="right" vertical="center"/>
    </xf>
    <xf numFmtId="2" fontId="0" fillId="14" borderId="0" xfId="0" applyNumberFormat="1" applyFill="1" applyBorder="1"/>
    <xf numFmtId="2" fontId="0" fillId="14" borderId="2" xfId="0" applyNumberFormat="1" applyFill="1" applyBorder="1"/>
    <xf numFmtId="44" fontId="0" fillId="14" borderId="0" xfId="0" applyNumberFormat="1" applyFill="1" applyBorder="1"/>
    <xf numFmtId="168" fontId="0" fillId="14" borderId="0" xfId="0" applyNumberFormat="1" applyFill="1" applyBorder="1"/>
    <xf numFmtId="168" fontId="0" fillId="14" borderId="2" xfId="0" applyNumberFormat="1" applyFill="1" applyBorder="1"/>
    <xf numFmtId="0" fontId="0" fillId="14" borderId="24" xfId="0" applyFill="1" applyBorder="1"/>
    <xf numFmtId="0" fontId="0" fillId="14" borderId="25" xfId="0" applyFill="1" applyBorder="1"/>
    <xf numFmtId="168" fontId="0" fillId="14" borderId="25" xfId="0" applyNumberFormat="1" applyFill="1" applyBorder="1"/>
    <xf numFmtId="44" fontId="0" fillId="14" borderId="25" xfId="0" applyNumberFormat="1" applyFill="1" applyBorder="1"/>
    <xf numFmtId="0" fontId="0" fillId="14" borderId="26" xfId="0" applyFill="1" applyBorder="1"/>
    <xf numFmtId="0" fontId="0" fillId="15" borderId="43" xfId="0" applyFill="1" applyBorder="1" applyAlignment="1"/>
    <xf numFmtId="0" fontId="0" fillId="15" borderId="44" xfId="0" applyFill="1" applyBorder="1" applyAlignment="1"/>
    <xf numFmtId="0" fontId="0" fillId="15" borderId="45" xfId="0" applyFill="1" applyBorder="1" applyAlignment="1"/>
    <xf numFmtId="0" fontId="0" fillId="15" borderId="1" xfId="0" applyFill="1" applyBorder="1"/>
    <xf numFmtId="0" fontId="0" fillId="15" borderId="0" xfId="0" applyFill="1" applyBorder="1"/>
    <xf numFmtId="167" fontId="0" fillId="15" borderId="0" xfId="2" applyNumberFormat="1" applyFont="1" applyFill="1" applyBorder="1"/>
    <xf numFmtId="0" fontId="0" fillId="15" borderId="2" xfId="0" applyFill="1" applyBorder="1"/>
    <xf numFmtId="167" fontId="0" fillId="15" borderId="0" xfId="0" applyNumberFormat="1" applyFill="1" applyBorder="1"/>
    <xf numFmtId="9" fontId="0" fillId="15" borderId="0" xfId="0" applyNumberFormat="1" applyFill="1" applyBorder="1"/>
    <xf numFmtId="168" fontId="0" fillId="15" borderId="0" xfId="1" applyNumberFormat="1" applyFont="1" applyFill="1" applyBorder="1"/>
    <xf numFmtId="168" fontId="0" fillId="15" borderId="2" xfId="1" applyNumberFormat="1" applyFont="1" applyFill="1" applyBorder="1"/>
    <xf numFmtId="42" fontId="0" fillId="15" borderId="1" xfId="1" applyFont="1" applyFill="1" applyBorder="1"/>
    <xf numFmtId="42" fontId="0" fillId="15" borderId="0" xfId="1" applyFont="1" applyFill="1" applyBorder="1"/>
    <xf numFmtId="42" fontId="0" fillId="15" borderId="2" xfId="1" applyFont="1" applyFill="1" applyBorder="1"/>
    <xf numFmtId="2" fontId="0" fillId="15" borderId="0" xfId="1" applyNumberFormat="1" applyFont="1" applyFill="1" applyBorder="1"/>
    <xf numFmtId="42" fontId="0" fillId="15" borderId="0" xfId="0" applyNumberFormat="1" applyFill="1" applyBorder="1"/>
    <xf numFmtId="42" fontId="0" fillId="15" borderId="2" xfId="0" applyNumberFormat="1" applyFill="1" applyBorder="1"/>
    <xf numFmtId="0" fontId="0" fillId="15" borderId="0" xfId="0" applyFill="1" applyBorder="1" applyAlignment="1">
      <alignment horizontal="right"/>
    </xf>
    <xf numFmtId="0" fontId="0" fillId="15" borderId="0" xfId="0" applyFill="1" applyBorder="1" applyAlignment="1">
      <alignment horizontal="right" vertical="center"/>
    </xf>
    <xf numFmtId="2" fontId="0" fillId="15" borderId="0" xfId="0" applyNumberFormat="1" applyFill="1" applyBorder="1"/>
    <xf numFmtId="2" fontId="0" fillId="15" borderId="2" xfId="0" applyNumberFormat="1" applyFill="1" applyBorder="1"/>
    <xf numFmtId="44" fontId="0" fillId="15" borderId="0" xfId="0" applyNumberFormat="1" applyFill="1" applyBorder="1"/>
    <xf numFmtId="168" fontId="0" fillId="15" borderId="0" xfId="0" applyNumberFormat="1" applyFill="1" applyBorder="1"/>
    <xf numFmtId="168" fontId="0" fillId="15" borderId="2" xfId="0" applyNumberFormat="1" applyFill="1" applyBorder="1"/>
    <xf numFmtId="0" fontId="0" fillId="15" borderId="24" xfId="0" applyFill="1" applyBorder="1"/>
    <xf numFmtId="0" fontId="0" fillId="15" borderId="25" xfId="0" applyFill="1" applyBorder="1"/>
    <xf numFmtId="168" fontId="0" fillId="15" borderId="25" xfId="0" applyNumberFormat="1" applyFill="1" applyBorder="1"/>
    <xf numFmtId="44" fontId="0" fillId="15" borderId="25" xfId="0" applyNumberFormat="1" applyFill="1" applyBorder="1"/>
    <xf numFmtId="0" fontId="0" fillId="15" borderId="26" xfId="0" applyFill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2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2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center"/>
    </xf>
    <xf numFmtId="0" fontId="12" fillId="7" borderId="0" xfId="0" applyFont="1" applyFill="1" applyBorder="1"/>
    <xf numFmtId="0" fontId="12" fillId="7" borderId="2" xfId="0" applyFont="1" applyFill="1" applyBorder="1"/>
    <xf numFmtId="0" fontId="10" fillId="7" borderId="1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5" borderId="0" xfId="0" applyFont="1" applyFill="1" applyBorder="1"/>
    <xf numFmtId="0" fontId="12" fillId="5" borderId="2" xfId="0" applyFont="1" applyFill="1" applyBorder="1"/>
    <xf numFmtId="0" fontId="10" fillId="5" borderId="0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44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0" fontId="4" fillId="10" borderId="18" xfId="3" applyFont="1" applyFill="1" applyBorder="1" applyAlignment="1">
      <alignment horizontal="center" vertical="center"/>
    </xf>
    <xf numFmtId="0" fontId="4" fillId="2" borderId="47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0" fontId="4" fillId="9" borderId="6" xfId="3" applyFont="1" applyFill="1" applyBorder="1" applyAlignment="1">
      <alignment horizontal="center" vertical="center"/>
    </xf>
    <xf numFmtId="0" fontId="5" fillId="9" borderId="7" xfId="3" applyFont="1" applyFill="1" applyBorder="1" applyAlignment="1">
      <alignment horizontal="center" vertical="center"/>
    </xf>
    <xf numFmtId="0" fontId="5" fillId="9" borderId="8" xfId="3" applyFont="1" applyFill="1" applyBorder="1" applyAlignment="1">
      <alignment horizontal="center" vertical="center"/>
    </xf>
    <xf numFmtId="0" fontId="4" fillId="10" borderId="6" xfId="3" applyFont="1" applyFill="1" applyBorder="1" applyAlignment="1">
      <alignment horizontal="center" vertical="center"/>
    </xf>
    <xf numFmtId="0" fontId="5" fillId="10" borderId="7" xfId="3" applyFont="1" applyFill="1" applyBorder="1" applyAlignment="1">
      <alignment horizontal="center" vertical="center"/>
    </xf>
    <xf numFmtId="0" fontId="5" fillId="10" borderId="8" xfId="3" applyFont="1" applyFill="1" applyBorder="1" applyAlignment="1">
      <alignment horizontal="center" vertical="center"/>
    </xf>
    <xf numFmtId="0" fontId="4" fillId="9" borderId="14" xfId="3" applyFont="1" applyFill="1" applyBorder="1" applyAlignment="1">
      <alignment horizontal="center" vertical="center"/>
    </xf>
    <xf numFmtId="0" fontId="4" fillId="9" borderId="18" xfId="3" applyFont="1" applyFill="1" applyBorder="1" applyAlignment="1">
      <alignment horizontal="center" vertical="center"/>
    </xf>
    <xf numFmtId="0" fontId="4" fillId="9" borderId="7" xfId="3" applyFont="1" applyFill="1" applyBorder="1" applyAlignment="1">
      <alignment horizontal="center" vertical="center"/>
    </xf>
    <xf numFmtId="0" fontId="4" fillId="9" borderId="8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 wrapText="1"/>
    </xf>
    <xf numFmtId="0" fontId="4" fillId="2" borderId="22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/>
    </xf>
    <xf numFmtId="0" fontId="4" fillId="2" borderId="46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/>
    </xf>
    <xf numFmtId="0" fontId="4" fillId="2" borderId="21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 wrapText="1"/>
    </xf>
    <xf numFmtId="0" fontId="0" fillId="11" borderId="43" xfId="0" applyFill="1" applyBorder="1" applyAlignment="1">
      <alignment horizontal="center"/>
    </xf>
    <xf numFmtId="0" fontId="0" fillId="11" borderId="44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0" fillId="11" borderId="43" xfId="0" applyFill="1" applyBorder="1" applyAlignment="1">
      <alignment horizontal="center" wrapText="1"/>
    </xf>
    <xf numFmtId="0" fontId="0" fillId="11" borderId="44" xfId="0" applyFill="1" applyBorder="1" applyAlignment="1">
      <alignment horizontal="center" wrapText="1"/>
    </xf>
    <xf numFmtId="0" fontId="0" fillId="11" borderId="45" xfId="0" applyFill="1" applyBorder="1" applyAlignment="1">
      <alignment horizontal="center" wrapText="1"/>
    </xf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8" fontId="7" fillId="0" borderId="27" xfId="0" applyNumberFormat="1" applyFont="1" applyBorder="1" applyAlignment="1">
      <alignment horizontal="center"/>
    </xf>
    <xf numFmtId="8" fontId="7" fillId="0" borderId="29" xfId="0" applyNumberFormat="1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166" fontId="7" fillId="0" borderId="27" xfId="1" applyNumberFormat="1" applyFont="1" applyBorder="1" applyAlignment="1">
      <alignment horizontal="center" vertical="center"/>
    </xf>
    <xf numFmtId="166" fontId="7" fillId="0" borderId="29" xfId="1" applyNumberFormat="1" applyFont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m/Documents/2020-3/Presupuestos/Taller%20SC%20-%20Enero%20126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NIIF "/>
      <sheetName val="VENTAS Y COMPRAS"/>
      <sheetName val="NOMINA VENDEDOR "/>
      <sheetName val="NOMINA ADMINISTRADOR "/>
      <sheetName val="AJUSTES INFLACIÓN - AUMENTOS "/>
      <sheetName val="PRESTAMOS "/>
      <sheetName val="DATOS EJERCICIO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B35" t="str">
            <v xml:space="preserve">Compra de muebles préstamos </v>
          </cell>
        </row>
        <row r="36">
          <cell r="B36" t="str">
            <v xml:space="preserve">Valor </v>
          </cell>
        </row>
        <row r="37">
          <cell r="B37" t="str">
            <v>Tasa MV</v>
          </cell>
        </row>
        <row r="38">
          <cell r="B38" t="str">
            <v xml:space="preserve">Plazo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46" zoomScale="70" zoomScaleNormal="70" workbookViewId="0">
      <selection activeCell="G67" sqref="G67"/>
    </sheetView>
  </sheetViews>
  <sheetFormatPr baseColWidth="10" defaultColWidth="20.7109375" defaultRowHeight="16.5"/>
  <cols>
    <col min="1" max="1" width="9" style="108" customWidth="1"/>
    <col min="2" max="6" width="20.7109375" style="91"/>
    <col min="7" max="16384" width="20.7109375" style="108"/>
  </cols>
  <sheetData>
    <row r="1" spans="1:7" ht="18.75">
      <c r="B1" s="350" t="s">
        <v>127</v>
      </c>
      <c r="C1" s="350"/>
      <c r="D1" s="350"/>
      <c r="E1" s="350"/>
      <c r="F1" s="350"/>
    </row>
    <row r="2" spans="1:7" ht="16.5" customHeight="1">
      <c r="B2" s="109"/>
      <c r="C2" s="109"/>
      <c r="D2" s="109"/>
      <c r="E2" s="109"/>
      <c r="F2" s="109"/>
    </row>
    <row r="3" spans="1:7" ht="16.5" customHeight="1">
      <c r="A3" s="351"/>
      <c r="B3" s="351"/>
      <c r="C3" s="351"/>
      <c r="D3" s="351"/>
      <c r="E3" s="351"/>
      <c r="F3" s="351"/>
    </row>
    <row r="4" spans="1:7" ht="16.5" customHeight="1">
      <c r="A4" s="351"/>
      <c r="B4" s="351"/>
      <c r="C4" s="110"/>
      <c r="D4" s="110"/>
      <c r="E4" s="110"/>
      <c r="F4" s="110"/>
    </row>
    <row r="5" spans="1:7" ht="16.5" customHeight="1">
      <c r="A5" s="111"/>
      <c r="B5" s="111"/>
      <c r="C5" s="110"/>
      <c r="D5" s="110"/>
      <c r="E5" s="110"/>
      <c r="F5" s="110"/>
    </row>
    <row r="6" spans="1:7" ht="16.5" customHeight="1">
      <c r="A6" s="157"/>
      <c r="B6" s="157"/>
      <c r="C6" s="110"/>
      <c r="D6" s="110"/>
      <c r="E6" s="110"/>
      <c r="F6" s="110"/>
    </row>
    <row r="7" spans="1:7" ht="16.5" customHeight="1">
      <c r="A7" s="157"/>
      <c r="B7" s="157"/>
      <c r="C7" s="110"/>
      <c r="D7" s="158"/>
      <c r="E7" s="110"/>
      <c r="F7" s="110"/>
    </row>
    <row r="8" spans="1:7" ht="16.5" customHeight="1" thickBot="1">
      <c r="B8" s="109"/>
      <c r="C8" s="109"/>
      <c r="D8" s="109"/>
      <c r="E8" s="109"/>
      <c r="F8" s="109"/>
    </row>
    <row r="9" spans="1:7">
      <c r="B9" s="112"/>
      <c r="C9" s="113"/>
      <c r="D9" s="352" t="s">
        <v>128</v>
      </c>
      <c r="E9" s="352"/>
      <c r="F9" s="353"/>
    </row>
    <row r="10" spans="1:7">
      <c r="B10" s="354" t="s">
        <v>129</v>
      </c>
      <c r="C10" s="355"/>
      <c r="D10" s="91">
        <v>2021</v>
      </c>
      <c r="E10" s="91">
        <v>2022</v>
      </c>
      <c r="F10" s="114">
        <v>2023</v>
      </c>
    </row>
    <row r="11" spans="1:7">
      <c r="B11" s="354"/>
      <c r="C11" s="355"/>
      <c r="D11" s="115">
        <v>250000000</v>
      </c>
      <c r="E11" s="115">
        <v>250000000</v>
      </c>
      <c r="F11" s="116">
        <v>250000000</v>
      </c>
    </row>
    <row r="12" spans="1:7">
      <c r="B12" s="310"/>
      <c r="C12" s="321"/>
      <c r="D12" s="321"/>
      <c r="E12" s="321"/>
      <c r="F12" s="322"/>
      <c r="G12" s="117"/>
    </row>
    <row r="13" spans="1:7">
      <c r="B13" s="345" t="s">
        <v>130</v>
      </c>
      <c r="C13" s="346"/>
      <c r="D13" s="346"/>
      <c r="E13" s="346"/>
      <c r="F13" s="347"/>
    </row>
    <row r="14" spans="1:7">
      <c r="B14" s="118"/>
      <c r="C14" s="119"/>
      <c r="D14" s="120"/>
      <c r="E14" s="119"/>
      <c r="F14" s="121"/>
    </row>
    <row r="15" spans="1:7">
      <c r="B15" s="345" t="s">
        <v>131</v>
      </c>
      <c r="C15" s="348"/>
      <c r="D15" s="348"/>
      <c r="E15" s="348"/>
      <c r="F15" s="349"/>
    </row>
    <row r="16" spans="1:7">
      <c r="B16" s="310" t="s">
        <v>132</v>
      </c>
      <c r="C16" s="311"/>
      <c r="D16" s="115">
        <f>'VENTAS Y COMPRAS'!AP14</f>
        <v>4643257619.318182</v>
      </c>
      <c r="E16" s="115">
        <f>'VENTAS Y COMPRAS'!AQ14</f>
        <v>5062684659.613637</v>
      </c>
      <c r="F16" s="116">
        <f>'VENTAS Y COMPRAS'!AR14</f>
        <v>5415642549.5072727</v>
      </c>
    </row>
    <row r="17" spans="2:6">
      <c r="B17" s="310" t="s">
        <v>133</v>
      </c>
      <c r="C17" s="311"/>
      <c r="D17" s="115">
        <f>'VENTAS Y COMPRAS'!AP15</f>
        <v>1408650667.6136363</v>
      </c>
      <c r="E17" s="115">
        <f>'VENTAS Y COMPRAS'!AQ15</f>
        <v>1674992546.0227275</v>
      </c>
      <c r="F17" s="116">
        <f>'VENTAS Y COMPRAS'!AR15</f>
        <v>1794755537.3490911</v>
      </c>
    </row>
    <row r="18" spans="2:6">
      <c r="B18" s="323"/>
      <c r="C18" s="324"/>
      <c r="D18" s="119"/>
      <c r="E18" s="119"/>
      <c r="F18" s="121"/>
    </row>
    <row r="19" spans="2:6">
      <c r="B19" s="323"/>
      <c r="C19" s="324"/>
      <c r="D19" s="119"/>
      <c r="E19" s="119"/>
      <c r="F19" s="121"/>
    </row>
    <row r="20" spans="2:6">
      <c r="B20" s="314" t="s">
        <v>134</v>
      </c>
      <c r="C20" s="315"/>
      <c r="D20" s="122">
        <f>SUM(D16:D19,D11)</f>
        <v>6301908286.931818</v>
      </c>
      <c r="E20" s="122">
        <f t="shared" ref="E20:F20" si="0">SUM(E16:E19,E11)</f>
        <v>6987677205.636364</v>
      </c>
      <c r="F20" s="123">
        <f t="shared" si="0"/>
        <v>7460398086.8563633</v>
      </c>
    </row>
    <row r="21" spans="2:6">
      <c r="B21" s="345" t="s">
        <v>135</v>
      </c>
      <c r="C21" s="348"/>
      <c r="D21" s="348"/>
      <c r="E21" s="348"/>
      <c r="F21" s="349"/>
    </row>
    <row r="22" spans="2:6">
      <c r="B22" s="310" t="s">
        <v>136</v>
      </c>
      <c r="C22" s="311"/>
      <c r="D22" s="115">
        <f>'VENTAS Y COMPRAS'!AP18</f>
        <v>2675906194.5</v>
      </c>
      <c r="E22" s="115">
        <f>'VENTAS Y COMPRAS'!AQ18</f>
        <v>2926114096.29</v>
      </c>
      <c r="F22" s="116">
        <f>'VENTAS Y COMPRAS'!AR18</f>
        <v>3142165871.6447997</v>
      </c>
    </row>
    <row r="23" spans="2:6">
      <c r="B23" s="310" t="s">
        <v>137</v>
      </c>
      <c r="C23" s="311"/>
      <c r="D23" s="115">
        <f>'VENTAS Y COMPRAS'!AP19</f>
        <v>1043972275.5000001</v>
      </c>
      <c r="E23" s="115">
        <f>'VENTAS Y COMPRAS'!AQ19</f>
        <v>1244408797.1700001</v>
      </c>
      <c r="F23" s="116">
        <f>'VENTAS Y COMPRAS'!AR19</f>
        <v>1338242711.6520002</v>
      </c>
    </row>
    <row r="24" spans="2:6">
      <c r="B24" s="310" t="s">
        <v>167</v>
      </c>
      <c r="C24" s="311"/>
      <c r="D24" s="115">
        <f>'NOMINA GERENTE'!C197</f>
        <v>111628931.28</v>
      </c>
      <c r="E24" s="115">
        <f>'NOMINA GERENTE'!D197</f>
        <v>125636907.15679996</v>
      </c>
      <c r="F24" s="116">
        <f>'NOMINA GERENTE'!E197</f>
        <v>138867396.81907201</v>
      </c>
    </row>
    <row r="25" spans="2:6">
      <c r="B25" s="310" t="s">
        <v>172</v>
      </c>
      <c r="C25" s="311"/>
      <c r="D25" s="115">
        <f>'NOMINA ADMINISTRADORES'!C197</f>
        <v>126314451.68000001</v>
      </c>
      <c r="E25" s="115">
        <f>'NOMINA ADMINISTRADORES'!D197</f>
        <v>142279672.7008</v>
      </c>
      <c r="F25" s="116">
        <f>'NOMINA ADMINISTRADORES'!E197</f>
        <v>157383703.24864</v>
      </c>
    </row>
    <row r="26" spans="2:6">
      <c r="B26" s="310" t="s">
        <v>173</v>
      </c>
      <c r="C26" s="311"/>
      <c r="D26" s="115">
        <f>'NOMINA VENDEDORES'!C197</f>
        <v>82394872.159999996</v>
      </c>
      <c r="E26" s="115">
        <f>'NOMINA VENDEDORES'!D197</f>
        <v>92848758.409599975</v>
      </c>
      <c r="F26" s="116">
        <f>'NOMINA VENDEDORES'!E197</f>
        <v>102747350.40179202</v>
      </c>
    </row>
    <row r="27" spans="2:6">
      <c r="B27" s="310" t="s">
        <v>174</v>
      </c>
      <c r="C27" s="311"/>
      <c r="D27" s="115">
        <f>GASTOS!D18</f>
        <v>140289840</v>
      </c>
      <c r="E27" s="115">
        <f>GASTOS!E18</f>
        <v>148707230.40000001</v>
      </c>
      <c r="F27" s="116">
        <f>GASTOS!F18</f>
        <v>154655519.616</v>
      </c>
    </row>
    <row r="28" spans="2:6">
      <c r="B28" s="310" t="s">
        <v>177</v>
      </c>
      <c r="C28" s="311"/>
      <c r="D28" s="115">
        <f>GASTOS!D37</f>
        <v>34886280</v>
      </c>
      <c r="E28" s="115">
        <f>GASTOS!E37</f>
        <v>36979456.799999997</v>
      </c>
      <c r="F28" s="116">
        <f>GASTOS!F37</f>
        <v>38458635.072000004</v>
      </c>
    </row>
    <row r="29" spans="2:6">
      <c r="B29" s="310" t="s">
        <v>175</v>
      </c>
      <c r="C29" s="311"/>
      <c r="D29" s="115">
        <f>GASTOS!D61</f>
        <v>286139125</v>
      </c>
      <c r="E29" s="115">
        <f>GASTOS!E61</f>
        <v>311986169.5</v>
      </c>
      <c r="F29" s="116">
        <f>GASTOS!F61</f>
        <v>333737075.87999994</v>
      </c>
    </row>
    <row r="30" spans="2:6">
      <c r="B30" s="310" t="s">
        <v>176</v>
      </c>
      <c r="C30" s="311"/>
      <c r="D30" s="115">
        <f>GASTOS!D52</f>
        <v>55557396</v>
      </c>
      <c r="E30" s="115">
        <f>GASTOS!E52</f>
        <v>58890839.760000005</v>
      </c>
      <c r="F30" s="116">
        <f>GASTOS!F52</f>
        <v>61246473.350400001</v>
      </c>
    </row>
    <row r="31" spans="2:6">
      <c r="B31" s="310" t="s">
        <v>138</v>
      </c>
      <c r="C31" s="311"/>
      <c r="D31" s="124">
        <f>'VENTAS Y COMPRAS'!AP17</f>
        <v>105451745</v>
      </c>
      <c r="E31" s="124">
        <f>'VENTAS Y COMPRAS'!AQ17</f>
        <v>125697858.30000001</v>
      </c>
      <c r="F31" s="125">
        <f>'VENTAS Y COMPRAS'!AR17</f>
        <v>135176031.48000002</v>
      </c>
    </row>
    <row r="32" spans="2:6">
      <c r="B32" s="310" t="s">
        <v>139</v>
      </c>
      <c r="C32" s="311"/>
      <c r="D32" s="124">
        <f>'VENTAS Y COMPRAS'!AP16</f>
        <v>296003772.27272725</v>
      </c>
      <c r="E32" s="124">
        <f>'VENTAS Y COMPRAS'!AQ16</f>
        <v>384634317.4636364</v>
      </c>
      <c r="F32" s="125">
        <f>'VENTAS Y COMPRAS'!AR16</f>
        <v>410283464.8403635</v>
      </c>
    </row>
    <row r="33" spans="2:8">
      <c r="B33" s="323"/>
      <c r="C33" s="324"/>
      <c r="D33" s="124"/>
      <c r="E33" s="124"/>
      <c r="F33" s="125"/>
    </row>
    <row r="34" spans="2:8">
      <c r="B34" s="323"/>
      <c r="C34" s="324"/>
      <c r="D34" s="124"/>
      <c r="E34" s="124"/>
      <c r="F34" s="125"/>
    </row>
    <row r="35" spans="2:8">
      <c r="B35" s="314" t="s">
        <v>140</v>
      </c>
      <c r="C35" s="315"/>
      <c r="D35" s="126">
        <f>SUM(D21:D34)</f>
        <v>4958544883.3927269</v>
      </c>
      <c r="E35" s="126">
        <f>SUM(E21:E34)</f>
        <v>5598184103.9508371</v>
      </c>
      <c r="F35" s="127">
        <f>SUM(F21:F34)</f>
        <v>6012964234.0050669</v>
      </c>
    </row>
    <row r="36" spans="2:8">
      <c r="B36" s="325" t="s">
        <v>141</v>
      </c>
      <c r="C36" s="326"/>
      <c r="D36" s="128">
        <f>D20-D35</f>
        <v>1343363403.5390911</v>
      </c>
      <c r="E36" s="128">
        <f t="shared" ref="E36:F36" si="1">E20-E35</f>
        <v>1389493101.6855268</v>
      </c>
      <c r="F36" s="129">
        <f t="shared" si="1"/>
        <v>1447433852.8512964</v>
      </c>
    </row>
    <row r="37" spans="2:8">
      <c r="B37" s="118"/>
      <c r="C37" s="119"/>
      <c r="D37" s="124"/>
      <c r="E37" s="119"/>
      <c r="F37" s="125"/>
    </row>
    <row r="38" spans="2:8">
      <c r="B38" s="327" t="s">
        <v>142</v>
      </c>
      <c r="C38" s="328"/>
      <c r="D38" s="328"/>
      <c r="E38" s="328"/>
      <c r="F38" s="329"/>
    </row>
    <row r="39" spans="2:8">
      <c r="B39" s="130"/>
      <c r="C39" s="155"/>
      <c r="D39" s="155"/>
      <c r="E39" s="155"/>
      <c r="F39" s="156"/>
    </row>
    <row r="40" spans="2:8">
      <c r="B40" s="330" t="s">
        <v>143</v>
      </c>
      <c r="C40" s="331"/>
      <c r="D40" s="331"/>
      <c r="E40" s="331"/>
      <c r="F40" s="332"/>
    </row>
    <row r="41" spans="2:8">
      <c r="B41" s="323" t="s">
        <v>180</v>
      </c>
      <c r="C41" s="324"/>
      <c r="D41" s="124"/>
      <c r="E41" s="124"/>
      <c r="F41" s="125"/>
    </row>
    <row r="42" spans="2:8">
      <c r="B42" s="323"/>
      <c r="C42" s="324"/>
      <c r="D42" s="124"/>
      <c r="E42" s="124"/>
      <c r="F42" s="125"/>
      <c r="G42" s="131"/>
      <c r="H42" s="131"/>
    </row>
    <row r="43" spans="2:8">
      <c r="B43" s="323"/>
      <c r="C43" s="324"/>
      <c r="D43" s="124"/>
      <c r="E43" s="124"/>
      <c r="F43" s="125"/>
    </row>
    <row r="44" spans="2:8">
      <c r="B44" s="333" t="s">
        <v>134</v>
      </c>
      <c r="C44" s="334"/>
      <c r="D44" s="126">
        <f>SUM(D41:D43)</f>
        <v>0</v>
      </c>
      <c r="E44" s="126">
        <f t="shared" ref="E44:F44" si="2">SUM(E41:E43)</f>
        <v>0</v>
      </c>
      <c r="F44" s="127">
        <f t="shared" si="2"/>
        <v>0</v>
      </c>
    </row>
    <row r="45" spans="2:8">
      <c r="B45" s="327" t="s">
        <v>144</v>
      </c>
      <c r="C45" s="335"/>
      <c r="D45" s="335"/>
      <c r="E45" s="335"/>
      <c r="F45" s="336"/>
    </row>
    <row r="46" spans="2:8">
      <c r="B46" s="337" t="s">
        <v>178</v>
      </c>
      <c r="C46" s="338"/>
      <c r="D46" s="132">
        <f>PRESTAMO!D3</f>
        <v>350000000</v>
      </c>
      <c r="E46" s="124"/>
      <c r="F46" s="125"/>
    </row>
    <row r="47" spans="2:8">
      <c r="B47" s="323" t="s">
        <v>179</v>
      </c>
      <c r="C47" s="324"/>
      <c r="D47" s="124">
        <v>890000000</v>
      </c>
      <c r="E47" s="124">
        <v>890000000</v>
      </c>
      <c r="F47" s="125">
        <v>890000000</v>
      </c>
    </row>
    <row r="48" spans="2:8">
      <c r="B48" s="323"/>
      <c r="C48" s="324"/>
      <c r="D48" s="124"/>
      <c r="E48" s="124"/>
      <c r="F48" s="125"/>
    </row>
    <row r="49" spans="2:6">
      <c r="B49" s="314" t="s">
        <v>145</v>
      </c>
      <c r="C49" s="315"/>
      <c r="D49" s="126">
        <f>SUM(D46:D48)</f>
        <v>1240000000</v>
      </c>
      <c r="E49" s="126">
        <f>SUM(E45:E48)</f>
        <v>890000000</v>
      </c>
      <c r="F49" s="127">
        <f>SUM(F45:F48)</f>
        <v>890000000</v>
      </c>
    </row>
    <row r="50" spans="2:6">
      <c r="B50" s="133" t="s">
        <v>146</v>
      </c>
      <c r="C50" s="134"/>
      <c r="D50" s="135">
        <f>D44-D49</f>
        <v>-1240000000</v>
      </c>
      <c r="E50" s="135">
        <f>E44-E49</f>
        <v>-890000000</v>
      </c>
      <c r="F50" s="136">
        <f>F44-F49</f>
        <v>-890000000</v>
      </c>
    </row>
    <row r="51" spans="2:6">
      <c r="B51" s="137"/>
      <c r="C51" s="119"/>
      <c r="D51" s="115"/>
      <c r="E51" s="119"/>
      <c r="F51" s="121"/>
    </row>
    <row r="52" spans="2:6">
      <c r="B52" s="339" t="s">
        <v>147</v>
      </c>
      <c r="C52" s="340"/>
      <c r="D52" s="340"/>
      <c r="E52" s="340"/>
      <c r="F52" s="341"/>
    </row>
    <row r="53" spans="2:6">
      <c r="B53" s="130"/>
      <c r="C53" s="155"/>
      <c r="D53" s="155"/>
      <c r="E53" s="155"/>
      <c r="F53" s="156"/>
    </row>
    <row r="54" spans="2:6">
      <c r="B54" s="342" t="s">
        <v>148</v>
      </c>
      <c r="C54" s="343"/>
      <c r="D54" s="343"/>
      <c r="E54" s="343"/>
      <c r="F54" s="344"/>
    </row>
    <row r="55" spans="2:6">
      <c r="B55" s="310" t="s">
        <v>149</v>
      </c>
      <c r="C55" s="311"/>
      <c r="D55" s="132">
        <f>PRESTAMO!D3</f>
        <v>350000000</v>
      </c>
      <c r="E55" s="138"/>
      <c r="F55" s="121"/>
    </row>
    <row r="56" spans="2:6">
      <c r="B56" s="118"/>
      <c r="C56" s="119"/>
      <c r="D56" s="119"/>
      <c r="E56" s="119"/>
      <c r="F56" s="121"/>
    </row>
    <row r="57" spans="2:6">
      <c r="B57" s="314" t="s">
        <v>150</v>
      </c>
      <c r="C57" s="315"/>
      <c r="D57" s="122">
        <f>SUM(D55:D56)</f>
        <v>350000000</v>
      </c>
      <c r="E57" s="122">
        <f>SUM(E55:E56)</f>
        <v>0</v>
      </c>
      <c r="F57" s="123">
        <f>SUM(F55:F56)</f>
        <v>0</v>
      </c>
    </row>
    <row r="58" spans="2:6">
      <c r="B58" s="342" t="s">
        <v>151</v>
      </c>
      <c r="C58" s="343"/>
      <c r="D58" s="343"/>
      <c r="E58" s="343"/>
      <c r="F58" s="344"/>
    </row>
    <row r="59" spans="2:6">
      <c r="B59" s="310" t="s">
        <v>152</v>
      </c>
      <c r="C59" s="311"/>
      <c r="D59" s="139">
        <f>PRESTAMO!K10</f>
        <v>43943527.133870967</v>
      </c>
      <c r="E59" s="139">
        <f>PRESTAMO!L10</f>
        <v>28489455.338531509</v>
      </c>
      <c r="F59" s="140">
        <f>PRESTAMO!M10</f>
        <v>10657084.972157586</v>
      </c>
    </row>
    <row r="60" spans="2:6">
      <c r="B60" s="310" t="s">
        <v>153</v>
      </c>
      <c r="C60" s="311"/>
      <c r="D60" s="139">
        <f>PRESTAMO!K11</f>
        <v>100419828.68098243</v>
      </c>
      <c r="E60" s="139">
        <f>PRESTAMO!L11</f>
        <v>115873900.47632188</v>
      </c>
      <c r="F60" s="140">
        <f>PRESTAMO!M11</f>
        <v>133706270.8426958</v>
      </c>
    </row>
    <row r="61" spans="2:6">
      <c r="B61" s="314" t="s">
        <v>154</v>
      </c>
      <c r="C61" s="315"/>
      <c r="D61" s="141">
        <f>SUM(D59:D60)</f>
        <v>144363355.8148534</v>
      </c>
      <c r="E61" s="141">
        <f t="shared" ref="E61:F61" si="3">SUM(E59:E60)</f>
        <v>144363355.81485337</v>
      </c>
      <c r="F61" s="142">
        <f t="shared" si="3"/>
        <v>144363355.8148534</v>
      </c>
    </row>
    <row r="62" spans="2:6">
      <c r="B62" s="316" t="s">
        <v>155</v>
      </c>
      <c r="C62" s="317"/>
      <c r="D62" s="143">
        <f>D57-D61</f>
        <v>205636644.1851466</v>
      </c>
      <c r="E62" s="143">
        <f t="shared" ref="E62:F62" si="4">-E61</f>
        <v>-144363355.81485337</v>
      </c>
      <c r="F62" s="144">
        <f t="shared" si="4"/>
        <v>-144363355.8148534</v>
      </c>
    </row>
    <row r="63" spans="2:6">
      <c r="B63" s="318" t="s">
        <v>156</v>
      </c>
      <c r="C63" s="319"/>
      <c r="D63" s="145">
        <f>D36+D50+D62</f>
        <v>309000047.72423768</v>
      </c>
      <c r="E63" s="145">
        <f t="shared" ref="E63:F63" si="5">E36+E50+E62</f>
        <v>355129745.87067348</v>
      </c>
      <c r="F63" s="146">
        <f t="shared" si="5"/>
        <v>413070497.036443</v>
      </c>
    </row>
    <row r="64" spans="2:6">
      <c r="B64" s="320"/>
      <c r="C64" s="321"/>
      <c r="D64" s="321"/>
      <c r="E64" s="321"/>
      <c r="F64" s="322"/>
    </row>
    <row r="65" spans="2:6">
      <c r="B65" s="137" t="s">
        <v>157</v>
      </c>
      <c r="C65" s="119"/>
      <c r="D65" s="138">
        <v>250000000</v>
      </c>
      <c r="E65" s="138">
        <v>250000000</v>
      </c>
      <c r="F65" s="147">
        <v>250000000</v>
      </c>
    </row>
    <row r="66" spans="2:6">
      <c r="B66" s="320"/>
      <c r="C66" s="321"/>
      <c r="D66" s="321"/>
      <c r="E66" s="321"/>
      <c r="F66" s="322"/>
    </row>
    <row r="67" spans="2:6">
      <c r="B67" s="310" t="s">
        <v>158</v>
      </c>
      <c r="C67" s="311"/>
      <c r="D67" s="115">
        <f>D63-D65</f>
        <v>59000047.72423768</v>
      </c>
      <c r="E67" s="115">
        <f>E63-E65</f>
        <v>105129745.87067348</v>
      </c>
      <c r="F67" s="116">
        <f>F63-F65</f>
        <v>163070497.036443</v>
      </c>
    </row>
    <row r="68" spans="2:6" ht="17.25" thickBot="1">
      <c r="B68" s="312" t="s">
        <v>159</v>
      </c>
      <c r="C68" s="313"/>
      <c r="D68" s="148"/>
      <c r="E68" s="148"/>
      <c r="F68" s="149"/>
    </row>
  </sheetData>
  <mergeCells count="54">
    <mergeCell ref="B12:F12"/>
    <mergeCell ref="B1:F1"/>
    <mergeCell ref="A3:F3"/>
    <mergeCell ref="A4:B4"/>
    <mergeCell ref="D9:F9"/>
    <mergeCell ref="B10:C11"/>
    <mergeCell ref="B34:C34"/>
    <mergeCell ref="B30:C30"/>
    <mergeCell ref="B29:C29"/>
    <mergeCell ref="B26:C26"/>
    <mergeCell ref="B13:F13"/>
    <mergeCell ref="B15:F15"/>
    <mergeCell ref="B16:C16"/>
    <mergeCell ref="B17:C17"/>
    <mergeCell ref="B18:C18"/>
    <mergeCell ref="B19:C19"/>
    <mergeCell ref="B20:C20"/>
    <mergeCell ref="B21:F21"/>
    <mergeCell ref="B22:C22"/>
    <mergeCell ref="B23:C23"/>
    <mergeCell ref="B25:C25"/>
    <mergeCell ref="B24:C24"/>
    <mergeCell ref="B27:C27"/>
    <mergeCell ref="B28:C28"/>
    <mergeCell ref="B31:C31"/>
    <mergeCell ref="B32:C32"/>
    <mergeCell ref="B33:C33"/>
    <mergeCell ref="B59:C59"/>
    <mergeCell ref="B60:C60"/>
    <mergeCell ref="B49:C49"/>
    <mergeCell ref="B52:F52"/>
    <mergeCell ref="B54:F54"/>
    <mergeCell ref="B55:C55"/>
    <mergeCell ref="B57:C57"/>
    <mergeCell ref="B58:F58"/>
    <mergeCell ref="B48:C48"/>
    <mergeCell ref="B35:C35"/>
    <mergeCell ref="B36:C36"/>
    <mergeCell ref="B38:F38"/>
    <mergeCell ref="B40:F40"/>
    <mergeCell ref="B41:C41"/>
    <mergeCell ref="B43:C43"/>
    <mergeCell ref="B44:C44"/>
    <mergeCell ref="B45:F45"/>
    <mergeCell ref="B46:C46"/>
    <mergeCell ref="B47:C47"/>
    <mergeCell ref="B42:C42"/>
    <mergeCell ref="B67:C67"/>
    <mergeCell ref="B68:C68"/>
    <mergeCell ref="B61:C61"/>
    <mergeCell ref="B62:C62"/>
    <mergeCell ref="B63:C63"/>
    <mergeCell ref="B64:F64"/>
    <mergeCell ref="B66:F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885"/>
  <sheetViews>
    <sheetView topLeftCell="AG1" zoomScale="60" zoomScaleNormal="60" workbookViewId="0">
      <selection activeCell="R2" sqref="R2"/>
    </sheetView>
  </sheetViews>
  <sheetFormatPr baseColWidth="10" defaultColWidth="14.42578125" defaultRowHeight="15" customHeight="1"/>
  <cols>
    <col min="1" max="1" width="10.7109375" style="4" customWidth="1"/>
    <col min="2" max="2" width="16.7109375" style="4" customWidth="1"/>
    <col min="3" max="3" width="23.7109375" style="4" customWidth="1"/>
    <col min="4" max="4" width="21.7109375" style="4" customWidth="1"/>
    <col min="5" max="5" width="22.28515625" style="4" customWidth="1"/>
    <col min="6" max="6" width="18.7109375" style="4" customWidth="1"/>
    <col min="7" max="7" width="19.28515625" style="4" customWidth="1"/>
    <col min="8" max="8" width="27.42578125" style="4" customWidth="1"/>
    <col min="9" max="9" width="29.5703125" style="4" customWidth="1"/>
    <col min="10" max="10" width="10.7109375" style="4" customWidth="1"/>
    <col min="11" max="11" width="13.7109375" style="4" customWidth="1"/>
    <col min="12" max="12" width="14.28515625" style="4" customWidth="1"/>
    <col min="13" max="13" width="22.28515625" style="4" customWidth="1"/>
    <col min="14" max="14" width="19.5703125" style="4" customWidth="1"/>
    <col min="15" max="15" width="19.42578125" style="4" customWidth="1"/>
    <col min="16" max="16" width="17.140625" style="4" customWidth="1"/>
    <col min="17" max="17" width="22.5703125" style="4" customWidth="1"/>
    <col min="18" max="18" width="30.85546875" style="4" customWidth="1"/>
    <col min="19" max="19" width="31.85546875" style="4" customWidth="1"/>
    <col min="20" max="22" width="16.28515625" style="4" customWidth="1"/>
    <col min="23" max="23" width="18.28515625" style="4" customWidth="1"/>
    <col min="24" max="24" width="21" style="4" customWidth="1"/>
    <col min="25" max="25" width="20.7109375" style="4" customWidth="1"/>
    <col min="26" max="26" width="20.85546875" style="4" customWidth="1"/>
    <col min="27" max="27" width="21.7109375" style="4" customWidth="1"/>
    <col min="28" max="28" width="17.42578125" style="4" customWidth="1"/>
    <col min="29" max="30" width="10.7109375" style="4" customWidth="1"/>
    <col min="31" max="31" width="21.5703125" style="4" customWidth="1"/>
    <col min="32" max="32" width="18" style="4" customWidth="1"/>
    <col min="33" max="33" width="20.7109375" style="4" customWidth="1"/>
    <col min="34" max="34" width="20.28515625" style="4" customWidth="1"/>
    <col min="35" max="35" width="31.140625" style="4" customWidth="1"/>
    <col min="36" max="36" width="18.140625" style="4" customWidth="1"/>
    <col min="37" max="37" width="23.85546875" style="4" customWidth="1"/>
    <col min="38" max="38" width="18.140625" style="4" bestFit="1" customWidth="1"/>
    <col min="39" max="39" width="14.42578125" style="4"/>
    <col min="40" max="47" width="20.7109375" style="4" customWidth="1"/>
    <col min="48" max="16384" width="14.42578125" style="4"/>
  </cols>
  <sheetData>
    <row r="1" spans="1:47" ht="15.7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</row>
    <row r="2" spans="1:47" ht="15.75" customHeight="1" thickBot="1">
      <c r="A2" s="1"/>
      <c r="B2" s="2"/>
      <c r="C2" s="2"/>
      <c r="D2" s="6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2"/>
      <c r="V2" s="2"/>
      <c r="AN2" s="378" t="s">
        <v>0</v>
      </c>
      <c r="AO2" s="379"/>
      <c r="AP2" s="380"/>
      <c r="AQ2" s="380"/>
      <c r="AR2" s="380"/>
      <c r="AS2" s="380"/>
      <c r="AT2" s="380"/>
      <c r="AU2" s="381"/>
    </row>
    <row r="3" spans="1:47" ht="15.75" customHeight="1" thickBot="1">
      <c r="A3" s="1"/>
      <c r="B3" s="361" t="s">
        <v>1</v>
      </c>
      <c r="C3" s="362"/>
      <c r="D3" s="362"/>
      <c r="E3" s="362"/>
      <c r="F3" s="362"/>
      <c r="G3" s="362"/>
      <c r="H3" s="362"/>
      <c r="I3" s="363"/>
      <c r="J3" s="5"/>
      <c r="K3" s="364" t="s">
        <v>2</v>
      </c>
      <c r="L3" s="365"/>
      <c r="M3" s="365"/>
      <c r="N3" s="365"/>
      <c r="O3" s="365"/>
      <c r="P3" s="365"/>
      <c r="Q3" s="365"/>
      <c r="R3" s="365"/>
      <c r="S3" s="366"/>
      <c r="T3" s="6"/>
      <c r="U3" s="5"/>
      <c r="V3" s="5"/>
      <c r="W3" s="7"/>
      <c r="X3" s="7"/>
      <c r="Y3" s="7"/>
      <c r="Z3" s="7"/>
      <c r="AA3" s="7"/>
      <c r="AB3" s="7"/>
      <c r="AC3" s="382" t="s">
        <v>3</v>
      </c>
      <c r="AD3" s="383"/>
      <c r="AE3" s="383"/>
      <c r="AF3" s="383"/>
      <c r="AG3" s="383"/>
      <c r="AH3" s="383"/>
      <c r="AI3" s="383"/>
      <c r="AJ3" s="383"/>
      <c r="AK3" s="383"/>
      <c r="AL3" s="384"/>
      <c r="AN3" s="385" t="s">
        <v>4</v>
      </c>
      <c r="AO3" s="358" t="s">
        <v>121</v>
      </c>
      <c r="AP3" s="373" t="s">
        <v>5</v>
      </c>
      <c r="AQ3" s="373" t="s">
        <v>6</v>
      </c>
      <c r="AR3" s="373" t="s">
        <v>7</v>
      </c>
      <c r="AS3" s="373" t="s">
        <v>8</v>
      </c>
      <c r="AT3" s="373" t="s">
        <v>9</v>
      </c>
      <c r="AU3" s="386" t="s">
        <v>10</v>
      </c>
    </row>
    <row r="4" spans="1:47" ht="15.75" customHeight="1">
      <c r="A4" s="1"/>
      <c r="B4" s="361" t="s">
        <v>52</v>
      </c>
      <c r="C4" s="362"/>
      <c r="D4" s="362"/>
      <c r="E4" s="362"/>
      <c r="F4" s="362"/>
      <c r="G4" s="362"/>
      <c r="H4" s="362"/>
      <c r="I4" s="363"/>
      <c r="J4" s="5"/>
      <c r="K4" s="364" t="str">
        <f>B4</f>
        <v xml:space="preserve">BICICLETA TODO TERRENO </v>
      </c>
      <c r="L4" s="365"/>
      <c r="M4" s="365"/>
      <c r="N4" s="365"/>
      <c r="O4" s="365"/>
      <c r="P4" s="365"/>
      <c r="Q4" s="365"/>
      <c r="R4" s="365"/>
      <c r="S4" s="366"/>
      <c r="T4" s="6"/>
      <c r="U4" s="5"/>
      <c r="V4" s="387" t="s">
        <v>4</v>
      </c>
      <c r="W4" s="390" t="s">
        <v>11</v>
      </c>
      <c r="X4" s="383" t="s">
        <v>12</v>
      </c>
      <c r="Y4" s="383" t="s">
        <v>13</v>
      </c>
      <c r="Z4" s="393" t="s">
        <v>14</v>
      </c>
      <c r="AA4" s="384" t="s">
        <v>15</v>
      </c>
      <c r="AB4" s="7"/>
      <c r="AC4" s="385" t="s">
        <v>4</v>
      </c>
      <c r="AD4" s="376" t="s">
        <v>11</v>
      </c>
      <c r="AE4" s="376" t="s">
        <v>16</v>
      </c>
      <c r="AF4" s="376" t="s">
        <v>17</v>
      </c>
      <c r="AG4" s="376" t="s">
        <v>18</v>
      </c>
      <c r="AH4" s="376" t="s">
        <v>19</v>
      </c>
      <c r="AI4" s="376" t="s">
        <v>20</v>
      </c>
      <c r="AJ4" s="373" t="s">
        <v>21</v>
      </c>
      <c r="AK4" s="373" t="s">
        <v>22</v>
      </c>
      <c r="AL4" s="386" t="s">
        <v>23</v>
      </c>
      <c r="AN4" s="385"/>
      <c r="AO4" s="359"/>
      <c r="AP4" s="373"/>
      <c r="AQ4" s="373"/>
      <c r="AR4" s="373"/>
      <c r="AS4" s="373"/>
      <c r="AT4" s="373"/>
      <c r="AU4" s="386"/>
    </row>
    <row r="5" spans="1:47" ht="15.75" customHeight="1">
      <c r="A5" s="1"/>
      <c r="B5" s="367" t="s">
        <v>11</v>
      </c>
      <c r="C5" s="367" t="s">
        <v>24</v>
      </c>
      <c r="D5" s="367" t="s">
        <v>25</v>
      </c>
      <c r="E5" s="367" t="s">
        <v>26</v>
      </c>
      <c r="F5" s="161" t="s">
        <v>17</v>
      </c>
      <c r="G5" s="367" t="s">
        <v>27</v>
      </c>
      <c r="H5" s="161" t="s">
        <v>28</v>
      </c>
      <c r="I5" s="161" t="s">
        <v>29</v>
      </c>
      <c r="J5" s="5"/>
      <c r="K5" s="356" t="s">
        <v>11</v>
      </c>
      <c r="L5" s="356" t="s">
        <v>24</v>
      </c>
      <c r="M5" s="356" t="s">
        <v>30</v>
      </c>
      <c r="N5" s="356" t="s">
        <v>31</v>
      </c>
      <c r="O5" s="163" t="s">
        <v>17</v>
      </c>
      <c r="P5" s="163" t="s">
        <v>32</v>
      </c>
      <c r="Q5" s="356" t="s">
        <v>33</v>
      </c>
      <c r="R5" s="163" t="s">
        <v>34</v>
      </c>
      <c r="S5" s="163" t="s">
        <v>35</v>
      </c>
      <c r="T5" s="6"/>
      <c r="U5" s="5"/>
      <c r="V5" s="388"/>
      <c r="W5" s="391"/>
      <c r="X5" s="376"/>
      <c r="Y5" s="376"/>
      <c r="Z5" s="373"/>
      <c r="AA5" s="394"/>
      <c r="AB5" s="7"/>
      <c r="AC5" s="385"/>
      <c r="AD5" s="376"/>
      <c r="AE5" s="376"/>
      <c r="AF5" s="376"/>
      <c r="AG5" s="376"/>
      <c r="AH5" s="376"/>
      <c r="AI5" s="376"/>
      <c r="AJ5" s="373"/>
      <c r="AK5" s="373"/>
      <c r="AL5" s="386"/>
      <c r="AN5" s="385"/>
      <c r="AO5" s="360"/>
      <c r="AP5" s="373"/>
      <c r="AQ5" s="373"/>
      <c r="AR5" s="373"/>
      <c r="AS5" s="373"/>
      <c r="AT5" s="373"/>
      <c r="AU5" s="386"/>
    </row>
    <row r="6" spans="1:47" ht="15.75" customHeight="1" thickBot="1">
      <c r="A6" s="1"/>
      <c r="B6" s="368"/>
      <c r="C6" s="368"/>
      <c r="D6" s="368"/>
      <c r="E6" s="368"/>
      <c r="F6" s="162">
        <v>0.19</v>
      </c>
      <c r="G6" s="368"/>
      <c r="H6" s="162">
        <v>0.75</v>
      </c>
      <c r="I6" s="162">
        <f>100%-H6</f>
        <v>0.25</v>
      </c>
      <c r="J6" s="5"/>
      <c r="K6" s="357"/>
      <c r="L6" s="357"/>
      <c r="M6" s="357"/>
      <c r="N6" s="357"/>
      <c r="O6" s="164">
        <v>0.19</v>
      </c>
      <c r="P6" s="165">
        <v>3.5000000000000003E-2</v>
      </c>
      <c r="Q6" s="357"/>
      <c r="R6" s="166">
        <v>0.7</v>
      </c>
      <c r="S6" s="164">
        <f>1-R6</f>
        <v>0.30000000000000004</v>
      </c>
      <c r="T6" s="6"/>
      <c r="U6" s="5"/>
      <c r="V6" s="389"/>
      <c r="W6" s="392"/>
      <c r="X6" s="376"/>
      <c r="Y6" s="376"/>
      <c r="Z6" s="373"/>
      <c r="AA6" s="394"/>
      <c r="AB6" s="7"/>
      <c r="AC6" s="395"/>
      <c r="AD6" s="377"/>
      <c r="AE6" s="377"/>
      <c r="AF6" s="377"/>
      <c r="AG6" s="377"/>
      <c r="AH6" s="377"/>
      <c r="AI6" s="377"/>
      <c r="AJ6" s="374"/>
      <c r="AK6" s="374"/>
      <c r="AL6" s="396"/>
      <c r="AN6" s="8">
        <v>2021</v>
      </c>
      <c r="AO6" s="9">
        <f>SUM(AE7:AE18)</f>
        <v>5202529545.454545</v>
      </c>
      <c r="AP6" s="9">
        <f>SUM(AG7:AG18)</f>
        <v>4643257619.318182</v>
      </c>
      <c r="AQ6" s="9">
        <f>SUM(AH7:AH18)</f>
        <v>1408650667.6136363</v>
      </c>
      <c r="AR6" s="9">
        <f>SUM(AI7:AI18)</f>
        <v>296003772.27272725</v>
      </c>
      <c r="AS6" s="9">
        <f t="shared" ref="AS6:AT6" si="0">SUM(AJ7:AJ18)</f>
        <v>105451745</v>
      </c>
      <c r="AT6" s="9">
        <f t="shared" si="0"/>
        <v>2675906194.5</v>
      </c>
      <c r="AU6" s="10">
        <f>SUM(AL7:AL18)</f>
        <v>1043972275.5000001</v>
      </c>
    </row>
    <row r="7" spans="1:47" ht="15.75" customHeight="1">
      <c r="A7" s="1"/>
      <c r="B7" s="159" t="s">
        <v>36</v>
      </c>
      <c r="C7" s="11">
        <v>190</v>
      </c>
      <c r="D7" s="12">
        <f>M7/(1-35%)</f>
        <v>1000000</v>
      </c>
      <c r="E7" s="12">
        <f>C7*D7</f>
        <v>190000000</v>
      </c>
      <c r="F7" s="12">
        <f t="shared" ref="F7:F18" si="1">E7*0.19</f>
        <v>36100000</v>
      </c>
      <c r="G7" s="12">
        <f t="shared" ref="G7:G18" si="2">E7+F7</f>
        <v>226100000</v>
      </c>
      <c r="H7" s="12">
        <f>G7*$H$6</f>
        <v>169575000</v>
      </c>
      <c r="I7" s="12"/>
      <c r="J7" s="2"/>
      <c r="K7" s="167" t="s">
        <v>36</v>
      </c>
      <c r="L7" s="11">
        <v>200</v>
      </c>
      <c r="M7" s="12">
        <v>650000</v>
      </c>
      <c r="N7" s="12">
        <f t="shared" ref="N7:N18" si="3">L7*M7</f>
        <v>130000000</v>
      </c>
      <c r="O7" s="12">
        <f>N7*$O$6</f>
        <v>24700000</v>
      </c>
      <c r="P7" s="12">
        <f>N7*$P$6</f>
        <v>4550000</v>
      </c>
      <c r="Q7" s="13">
        <f>N7+O7-P7</f>
        <v>150150000</v>
      </c>
      <c r="R7" s="14">
        <f>Q7*$R$6</f>
        <v>105105000</v>
      </c>
      <c r="S7" s="15"/>
      <c r="T7" s="3"/>
      <c r="U7" s="2"/>
      <c r="V7" s="375">
        <v>2021</v>
      </c>
      <c r="W7" s="16" t="str">
        <f>K7</f>
        <v>ENERO</v>
      </c>
      <c r="X7" s="17">
        <f>F7+F26+F45</f>
        <v>79227840.909090906</v>
      </c>
      <c r="Y7" s="17">
        <f>O7+O26+O45</f>
        <v>52200220</v>
      </c>
      <c r="Z7" s="17">
        <f>X7-Y7</f>
        <v>27027620.909090906</v>
      </c>
      <c r="AA7" s="18"/>
      <c r="AC7" s="371">
        <v>2021</v>
      </c>
      <c r="AD7" s="19" t="str">
        <f>W7</f>
        <v>ENERO</v>
      </c>
      <c r="AE7" s="20">
        <f>E7+E26+E45</f>
        <v>416988636.36363637</v>
      </c>
      <c r="AF7" s="21">
        <f>X7</f>
        <v>79227840.909090906</v>
      </c>
      <c r="AG7" s="20">
        <f>H7+H26+H45</f>
        <v>372162357.9545455</v>
      </c>
      <c r="AH7" s="22"/>
      <c r="AI7" s="20">
        <f>AA7</f>
        <v>0</v>
      </c>
      <c r="AJ7" s="22"/>
      <c r="AK7" s="20">
        <f>R7+R26+R45</f>
        <v>222125673</v>
      </c>
      <c r="AL7" s="23"/>
      <c r="AN7" s="8">
        <v>2022</v>
      </c>
      <c r="AO7" s="14">
        <f>SUM(AE19:AE30)</f>
        <v>5672475809.090909</v>
      </c>
      <c r="AP7" s="14">
        <f>SUM(AG19:AG30)</f>
        <v>5062684659.613637</v>
      </c>
      <c r="AQ7" s="14">
        <f>SUM(AH19:AH30)</f>
        <v>1674992546.0227275</v>
      </c>
      <c r="AR7" s="14">
        <f>SUM(AI19:AI30)</f>
        <v>384634317.4636364</v>
      </c>
      <c r="AS7" s="14">
        <f t="shared" ref="AS7:AT7" si="4">SUM(AJ19:AJ30)</f>
        <v>125697858.30000001</v>
      </c>
      <c r="AT7" s="14">
        <f t="shared" si="4"/>
        <v>2926114096.29</v>
      </c>
      <c r="AU7" s="24">
        <f>SUM(AL19:AL30)</f>
        <v>1244408797.1700001</v>
      </c>
    </row>
    <row r="8" spans="1:47" ht="15.75" customHeight="1">
      <c r="A8" s="1"/>
      <c r="B8" s="159" t="s">
        <v>37</v>
      </c>
      <c r="C8" s="11">
        <v>200</v>
      </c>
      <c r="D8" s="12">
        <f t="shared" ref="D8:D18" si="5">M8/(1-35%)</f>
        <v>1000000</v>
      </c>
      <c r="E8" s="12">
        <f t="shared" ref="E8:E18" si="6">C8*D8</f>
        <v>200000000</v>
      </c>
      <c r="F8" s="12">
        <f t="shared" si="1"/>
        <v>38000000</v>
      </c>
      <c r="G8" s="12">
        <f t="shared" si="2"/>
        <v>238000000</v>
      </c>
      <c r="H8" s="12">
        <f t="shared" ref="H8:H18" si="7">G8*$H$6</f>
        <v>178500000</v>
      </c>
      <c r="I8" s="12">
        <f t="shared" ref="I8:I19" si="8">G7*$I$6</f>
        <v>56525000</v>
      </c>
      <c r="J8" s="2"/>
      <c r="K8" s="167" t="s">
        <v>37</v>
      </c>
      <c r="L8" s="11">
        <v>200</v>
      </c>
      <c r="M8" s="12">
        <f>M7</f>
        <v>650000</v>
      </c>
      <c r="N8" s="12">
        <f t="shared" si="3"/>
        <v>130000000</v>
      </c>
      <c r="O8" s="12">
        <f t="shared" ref="O8:O18" si="9">N8*$O$6</f>
        <v>24700000</v>
      </c>
      <c r="P8" s="12">
        <f t="shared" ref="P8:P18" si="10">N8*$P$6</f>
        <v>4550000</v>
      </c>
      <c r="Q8" s="13">
        <f t="shared" ref="Q8:Q18" si="11">N8+O8-P8</f>
        <v>150150000</v>
      </c>
      <c r="R8" s="14">
        <f t="shared" ref="R8:R18" si="12">Q8*$R$6</f>
        <v>105105000</v>
      </c>
      <c r="S8" s="26">
        <f t="shared" ref="S8:S19" si="13">Q7*$S$6</f>
        <v>45045000.000000007</v>
      </c>
      <c r="T8" s="3"/>
      <c r="U8" s="2"/>
      <c r="V8" s="375"/>
      <c r="W8" s="16" t="str">
        <f t="shared" ref="W8:W18" si="14">K8</f>
        <v>FEBRERO</v>
      </c>
      <c r="X8" s="17">
        <f t="shared" ref="X8:X18" si="15">F8+F27+F46</f>
        <v>81121234.090909094</v>
      </c>
      <c r="Y8" s="17">
        <f t="shared" ref="Y8:Y18" si="16">O8+O27+O46</f>
        <v>51983810</v>
      </c>
      <c r="Z8" s="17">
        <f t="shared" ref="Z8:Z42" si="17">X8-Y8</f>
        <v>29137424.090909094</v>
      </c>
      <c r="AA8" s="18"/>
      <c r="AC8" s="375"/>
      <c r="AD8" s="16" t="str">
        <f t="shared" ref="AD8:AD44" si="18">W8</f>
        <v>FEBRERO</v>
      </c>
      <c r="AE8" s="17">
        <f t="shared" ref="AE8:AE18" si="19">E8+E27+E46</f>
        <v>426953863.63636363</v>
      </c>
      <c r="AF8" s="17">
        <f t="shared" ref="AF8:AF42" si="20">X8</f>
        <v>81121234.090909094</v>
      </c>
      <c r="AG8" s="17">
        <f t="shared" ref="AG8:AG18" si="21">H8+H27+H46</f>
        <v>381056323.2954545</v>
      </c>
      <c r="AH8" s="17">
        <f t="shared" ref="AH8:AH19" si="22">I8+I27+I46</f>
        <v>124054119.31818181</v>
      </c>
      <c r="AI8" s="17">
        <f t="shared" ref="AI8:AI44" si="23">AA8</f>
        <v>0</v>
      </c>
      <c r="AJ8" s="17">
        <f t="shared" ref="AJ8:AJ19" si="24">P7+P26+P45</f>
        <v>9615830</v>
      </c>
      <c r="AK8" s="17">
        <f t="shared" ref="AK8:AK18" si="25">R8+R27+R46</f>
        <v>221204791.5</v>
      </c>
      <c r="AL8" s="27">
        <f t="shared" ref="AL8:AL19" si="26">S8+S27+S46</f>
        <v>95196717.000000015</v>
      </c>
      <c r="AN8" s="8">
        <v>2023</v>
      </c>
      <c r="AO8" s="9">
        <f>SUM(AE31:AE42)</f>
        <v>6067946834.1818171</v>
      </c>
      <c r="AP8" s="9">
        <f>SUM(AG31:AG42)</f>
        <v>5415642549.5072727</v>
      </c>
      <c r="AQ8" s="9">
        <f>SUM(AH31:AH42)</f>
        <v>1794755537.3490911</v>
      </c>
      <c r="AR8" s="9">
        <f>SUM(AI31:AI42)</f>
        <v>410283464.8403635</v>
      </c>
      <c r="AS8" s="9">
        <f t="shared" ref="AS8:AT8" si="27">SUM(AJ31:AJ42)</f>
        <v>135176031.48000002</v>
      </c>
      <c r="AT8" s="9">
        <f t="shared" si="27"/>
        <v>3142165871.6447997</v>
      </c>
      <c r="AU8" s="10">
        <f>SUM(AL31:AL42)</f>
        <v>1338242711.6520002</v>
      </c>
    </row>
    <row r="9" spans="1:47" ht="15.75" customHeight="1" thickBot="1">
      <c r="A9" s="1"/>
      <c r="B9" s="159" t="s">
        <v>38</v>
      </c>
      <c r="C9" s="11">
        <v>187</v>
      </c>
      <c r="D9" s="12">
        <f t="shared" si="5"/>
        <v>1000000</v>
      </c>
      <c r="E9" s="12">
        <f t="shared" si="6"/>
        <v>187000000</v>
      </c>
      <c r="F9" s="12">
        <f t="shared" si="1"/>
        <v>35530000</v>
      </c>
      <c r="G9" s="12">
        <f t="shared" si="2"/>
        <v>222530000</v>
      </c>
      <c r="H9" s="12">
        <f t="shared" si="7"/>
        <v>166897500</v>
      </c>
      <c r="I9" s="12">
        <f t="shared" si="8"/>
        <v>59500000</v>
      </c>
      <c r="J9" s="2"/>
      <c r="K9" s="167" t="s">
        <v>38</v>
      </c>
      <c r="L9" s="11">
        <v>190</v>
      </c>
      <c r="M9" s="12">
        <f t="shared" ref="M9:M18" si="28">M8</f>
        <v>650000</v>
      </c>
      <c r="N9" s="12">
        <f t="shared" si="3"/>
        <v>123500000</v>
      </c>
      <c r="O9" s="12">
        <f t="shared" si="9"/>
        <v>23465000</v>
      </c>
      <c r="P9" s="12">
        <f t="shared" si="10"/>
        <v>4322500</v>
      </c>
      <c r="Q9" s="13">
        <f t="shared" si="11"/>
        <v>142642500</v>
      </c>
      <c r="R9" s="14">
        <f t="shared" si="12"/>
        <v>99849750</v>
      </c>
      <c r="S9" s="26">
        <f t="shared" si="13"/>
        <v>45045000.000000007</v>
      </c>
      <c r="T9" s="3"/>
      <c r="U9" s="2"/>
      <c r="V9" s="375"/>
      <c r="W9" s="16" t="str">
        <f t="shared" si="14"/>
        <v>MARZO</v>
      </c>
      <c r="X9" s="17">
        <f t="shared" si="15"/>
        <v>79261263.636363626</v>
      </c>
      <c r="Y9" s="17">
        <f t="shared" si="16"/>
        <v>49983300</v>
      </c>
      <c r="Z9" s="17">
        <f t="shared" si="17"/>
        <v>29277963.636363626</v>
      </c>
      <c r="AA9" s="27">
        <f>Z7+Z8</f>
        <v>56165045</v>
      </c>
      <c r="AC9" s="375"/>
      <c r="AD9" s="16" t="str">
        <f t="shared" si="18"/>
        <v>MARZO</v>
      </c>
      <c r="AE9" s="17">
        <f t="shared" si="19"/>
        <v>417164545.45454544</v>
      </c>
      <c r="AF9" s="17">
        <f t="shared" si="20"/>
        <v>79261263.636363626</v>
      </c>
      <c r="AG9" s="17">
        <f t="shared" si="21"/>
        <v>372319356.81818181</v>
      </c>
      <c r="AH9" s="17">
        <f t="shared" si="22"/>
        <v>127018774.43181819</v>
      </c>
      <c r="AI9" s="17">
        <f t="shared" si="23"/>
        <v>56165045</v>
      </c>
      <c r="AJ9" s="17">
        <f t="shared" si="24"/>
        <v>9575965</v>
      </c>
      <c r="AK9" s="17">
        <f t="shared" si="25"/>
        <v>212692095</v>
      </c>
      <c r="AL9" s="27">
        <f t="shared" si="26"/>
        <v>94802053.500000015</v>
      </c>
      <c r="AN9" s="28">
        <v>2024</v>
      </c>
      <c r="AO9" s="29">
        <f>SUM(AE43:AE44)</f>
        <v>0</v>
      </c>
      <c r="AP9" s="29">
        <f>SUM(AG43:AG44)</f>
        <v>0</v>
      </c>
      <c r="AQ9" s="29">
        <f>SUM(AH43)</f>
        <v>162129525.16090909</v>
      </c>
      <c r="AR9" s="29">
        <f>SUM(AI43:AI44)</f>
        <v>73328574.809454516</v>
      </c>
      <c r="AS9" s="29">
        <f t="shared" ref="AS9:AT9" si="29">SUM(AJ43:AJ44)</f>
        <v>12210562.728000002</v>
      </c>
      <c r="AT9" s="29">
        <f t="shared" si="29"/>
        <v>0</v>
      </c>
      <c r="AU9" s="30">
        <f>SUM(AL43)</f>
        <v>120884571.00720002</v>
      </c>
    </row>
    <row r="10" spans="1:47" ht="15.75" customHeight="1">
      <c r="A10" s="1"/>
      <c r="B10" s="159" t="s">
        <v>39</v>
      </c>
      <c r="C10" s="11">
        <v>201</v>
      </c>
      <c r="D10" s="12">
        <f t="shared" si="5"/>
        <v>1000000</v>
      </c>
      <c r="E10" s="12">
        <f t="shared" si="6"/>
        <v>201000000</v>
      </c>
      <c r="F10" s="12">
        <f t="shared" si="1"/>
        <v>38190000</v>
      </c>
      <c r="G10" s="12">
        <f t="shared" si="2"/>
        <v>239190000</v>
      </c>
      <c r="H10" s="12">
        <f t="shared" si="7"/>
        <v>179392500</v>
      </c>
      <c r="I10" s="12">
        <f t="shared" si="8"/>
        <v>55632500</v>
      </c>
      <c r="J10" s="2"/>
      <c r="K10" s="167" t="s">
        <v>39</v>
      </c>
      <c r="L10" s="11">
        <v>190</v>
      </c>
      <c r="M10" s="12">
        <f t="shared" si="28"/>
        <v>650000</v>
      </c>
      <c r="N10" s="12">
        <f t="shared" si="3"/>
        <v>123500000</v>
      </c>
      <c r="O10" s="12">
        <f t="shared" si="9"/>
        <v>23465000</v>
      </c>
      <c r="P10" s="12">
        <f t="shared" si="10"/>
        <v>4322500</v>
      </c>
      <c r="Q10" s="13">
        <f t="shared" si="11"/>
        <v>142642500</v>
      </c>
      <c r="R10" s="14">
        <f t="shared" si="12"/>
        <v>99849750</v>
      </c>
      <c r="S10" s="26">
        <f t="shared" si="13"/>
        <v>42792750.000000007</v>
      </c>
      <c r="T10" s="3"/>
      <c r="U10" s="2"/>
      <c r="V10" s="375"/>
      <c r="W10" s="16" t="str">
        <f t="shared" si="14"/>
        <v>ABRIL</v>
      </c>
      <c r="X10" s="17">
        <f t="shared" si="15"/>
        <v>81126977.272727281</v>
      </c>
      <c r="Y10" s="17">
        <f t="shared" si="16"/>
        <v>49724900</v>
      </c>
      <c r="Z10" s="17">
        <f t="shared" si="17"/>
        <v>31402077.272727281</v>
      </c>
      <c r="AA10" s="18"/>
      <c r="AC10" s="375"/>
      <c r="AD10" s="16" t="str">
        <f t="shared" si="18"/>
        <v>ABRIL</v>
      </c>
      <c r="AE10" s="17">
        <f t="shared" si="19"/>
        <v>426984090.90909088</v>
      </c>
      <c r="AF10" s="17">
        <f t="shared" si="20"/>
        <v>81126977.272727281</v>
      </c>
      <c r="AG10" s="17">
        <f t="shared" si="21"/>
        <v>381083301.13636363</v>
      </c>
      <c r="AH10" s="17">
        <f t="shared" si="22"/>
        <v>124106452.27272727</v>
      </c>
      <c r="AI10" s="17">
        <f t="shared" si="23"/>
        <v>0</v>
      </c>
      <c r="AJ10" s="17">
        <f t="shared" si="24"/>
        <v>9207450</v>
      </c>
      <c r="AK10" s="17">
        <f t="shared" si="25"/>
        <v>211592535</v>
      </c>
      <c r="AL10" s="27">
        <f t="shared" si="26"/>
        <v>91153755.000000015</v>
      </c>
    </row>
    <row r="11" spans="1:47" ht="15.75" customHeight="1" thickBot="1">
      <c r="A11" s="1"/>
      <c r="B11" s="159" t="s">
        <v>40</v>
      </c>
      <c r="C11" s="11">
        <v>210</v>
      </c>
      <c r="D11" s="12">
        <f t="shared" si="5"/>
        <v>1000000</v>
      </c>
      <c r="E11" s="12">
        <f t="shared" si="6"/>
        <v>210000000</v>
      </c>
      <c r="F11" s="12">
        <f t="shared" si="1"/>
        <v>39900000</v>
      </c>
      <c r="G11" s="12">
        <f t="shared" si="2"/>
        <v>249900000</v>
      </c>
      <c r="H11" s="12">
        <f t="shared" si="7"/>
        <v>187425000</v>
      </c>
      <c r="I11" s="12">
        <f t="shared" si="8"/>
        <v>59797500</v>
      </c>
      <c r="J11" s="2"/>
      <c r="K11" s="167" t="s">
        <v>40</v>
      </c>
      <c r="L11" s="11">
        <v>215</v>
      </c>
      <c r="M11" s="12">
        <f t="shared" si="28"/>
        <v>650000</v>
      </c>
      <c r="N11" s="12">
        <f t="shared" si="3"/>
        <v>139750000</v>
      </c>
      <c r="O11" s="12">
        <f t="shared" si="9"/>
        <v>26552500</v>
      </c>
      <c r="P11" s="12">
        <f t="shared" si="10"/>
        <v>4891250</v>
      </c>
      <c r="Q11" s="13">
        <f t="shared" si="11"/>
        <v>161411250</v>
      </c>
      <c r="R11" s="14">
        <f t="shared" si="12"/>
        <v>112987875</v>
      </c>
      <c r="S11" s="26">
        <f t="shared" si="13"/>
        <v>42792750.000000007</v>
      </c>
      <c r="T11" s="3"/>
      <c r="U11" s="2"/>
      <c r="V11" s="375"/>
      <c r="W11" s="16" t="str">
        <f t="shared" si="14"/>
        <v>MAYO</v>
      </c>
      <c r="X11" s="17">
        <f t="shared" si="15"/>
        <v>84425550</v>
      </c>
      <c r="Y11" s="17">
        <f t="shared" si="16"/>
        <v>54911900</v>
      </c>
      <c r="Z11" s="17">
        <f t="shared" si="17"/>
        <v>29513650</v>
      </c>
      <c r="AA11" s="27">
        <f>Z9+Z10</f>
        <v>60680040.909090906</v>
      </c>
      <c r="AC11" s="375"/>
      <c r="AD11" s="16" t="str">
        <f t="shared" si="18"/>
        <v>MAYO</v>
      </c>
      <c r="AE11" s="17">
        <f t="shared" si="19"/>
        <v>444345000</v>
      </c>
      <c r="AF11" s="17">
        <f t="shared" si="20"/>
        <v>84425550</v>
      </c>
      <c r="AG11" s="17">
        <f t="shared" si="21"/>
        <v>396577912.5</v>
      </c>
      <c r="AH11" s="17">
        <f t="shared" si="22"/>
        <v>127027767.04545455</v>
      </c>
      <c r="AI11" s="17">
        <f t="shared" si="23"/>
        <v>60680040.909090906</v>
      </c>
      <c r="AJ11" s="17">
        <f t="shared" si="24"/>
        <v>9159850</v>
      </c>
      <c r="AK11" s="17">
        <f t="shared" si="25"/>
        <v>233664585</v>
      </c>
      <c r="AL11" s="27">
        <f t="shared" si="26"/>
        <v>90682515.000000015</v>
      </c>
    </row>
    <row r="12" spans="1:47" ht="15.75" customHeight="1">
      <c r="A12" s="1"/>
      <c r="B12" s="159" t="s">
        <v>41</v>
      </c>
      <c r="C12" s="11">
        <v>198</v>
      </c>
      <c r="D12" s="12">
        <f t="shared" si="5"/>
        <v>1000000</v>
      </c>
      <c r="E12" s="12">
        <f t="shared" si="6"/>
        <v>198000000</v>
      </c>
      <c r="F12" s="12">
        <f t="shared" si="1"/>
        <v>37620000</v>
      </c>
      <c r="G12" s="12">
        <f t="shared" si="2"/>
        <v>235620000</v>
      </c>
      <c r="H12" s="12">
        <f t="shared" si="7"/>
        <v>176715000</v>
      </c>
      <c r="I12" s="12">
        <f t="shared" si="8"/>
        <v>62475000</v>
      </c>
      <c r="J12" s="2"/>
      <c r="K12" s="167" t="s">
        <v>41</v>
      </c>
      <c r="L12" s="11">
        <v>200</v>
      </c>
      <c r="M12" s="12">
        <f t="shared" si="28"/>
        <v>650000</v>
      </c>
      <c r="N12" s="12">
        <f t="shared" si="3"/>
        <v>130000000</v>
      </c>
      <c r="O12" s="12">
        <f t="shared" si="9"/>
        <v>24700000</v>
      </c>
      <c r="P12" s="12">
        <f t="shared" si="10"/>
        <v>4550000</v>
      </c>
      <c r="Q12" s="13">
        <f t="shared" si="11"/>
        <v>150150000</v>
      </c>
      <c r="R12" s="14">
        <f t="shared" si="12"/>
        <v>105105000</v>
      </c>
      <c r="S12" s="26">
        <f t="shared" si="13"/>
        <v>48423375.000000007</v>
      </c>
      <c r="T12" s="3"/>
      <c r="U12" s="2"/>
      <c r="V12" s="375"/>
      <c r="W12" s="16" t="str">
        <f t="shared" si="14"/>
        <v>JUNIO</v>
      </c>
      <c r="X12" s="17">
        <f t="shared" si="15"/>
        <v>81344656.818181813</v>
      </c>
      <c r="Y12" s="17">
        <f t="shared" si="16"/>
        <v>52058100</v>
      </c>
      <c r="Z12" s="17">
        <f t="shared" si="17"/>
        <v>29286556.818181813</v>
      </c>
      <c r="AA12" s="27"/>
      <c r="AC12" s="375"/>
      <c r="AD12" s="16" t="str">
        <f t="shared" si="18"/>
        <v>JUNIO</v>
      </c>
      <c r="AE12" s="17">
        <f t="shared" si="19"/>
        <v>428129772.72727275</v>
      </c>
      <c r="AF12" s="17">
        <f t="shared" si="20"/>
        <v>81344656.818181813</v>
      </c>
      <c r="AG12" s="17">
        <f t="shared" si="21"/>
        <v>382105822.15909088</v>
      </c>
      <c r="AH12" s="17">
        <f t="shared" si="22"/>
        <v>132192637.5</v>
      </c>
      <c r="AI12" s="17">
        <f t="shared" si="23"/>
        <v>0</v>
      </c>
      <c r="AJ12" s="17">
        <f t="shared" si="24"/>
        <v>10115350</v>
      </c>
      <c r="AK12" s="17">
        <f t="shared" si="25"/>
        <v>221520915</v>
      </c>
      <c r="AL12" s="27">
        <f t="shared" si="26"/>
        <v>100141965.00000001</v>
      </c>
      <c r="AO12" s="168" t="s">
        <v>58</v>
      </c>
      <c r="AP12" s="169">
        <f t="array" ref="AP12:AS19">TRANSPOSE(AN6:AU9)</f>
        <v>2021</v>
      </c>
      <c r="AQ12" s="169">
        <v>2022</v>
      </c>
      <c r="AR12" s="169">
        <v>2023</v>
      </c>
      <c r="AS12" s="170">
        <v>2024</v>
      </c>
    </row>
    <row r="13" spans="1:47" ht="15.75" customHeight="1">
      <c r="A13" s="1"/>
      <c r="B13" s="159" t="s">
        <v>42</v>
      </c>
      <c r="C13" s="11">
        <v>203</v>
      </c>
      <c r="D13" s="12">
        <f t="shared" si="5"/>
        <v>1000000</v>
      </c>
      <c r="E13" s="12">
        <f t="shared" si="6"/>
        <v>203000000</v>
      </c>
      <c r="F13" s="12">
        <f t="shared" si="1"/>
        <v>38570000</v>
      </c>
      <c r="G13" s="12">
        <f t="shared" si="2"/>
        <v>241570000</v>
      </c>
      <c r="H13" s="12">
        <f t="shared" si="7"/>
        <v>181177500</v>
      </c>
      <c r="I13" s="12">
        <f t="shared" si="8"/>
        <v>58905000</v>
      </c>
      <c r="J13" s="2"/>
      <c r="K13" s="167" t="s">
        <v>42</v>
      </c>
      <c r="L13" s="11">
        <v>200</v>
      </c>
      <c r="M13" s="12">
        <f t="shared" si="28"/>
        <v>650000</v>
      </c>
      <c r="N13" s="12">
        <f t="shared" si="3"/>
        <v>130000000</v>
      </c>
      <c r="O13" s="12">
        <f t="shared" si="9"/>
        <v>24700000</v>
      </c>
      <c r="P13" s="12">
        <f t="shared" si="10"/>
        <v>4550000</v>
      </c>
      <c r="Q13" s="13">
        <f t="shared" si="11"/>
        <v>150150000</v>
      </c>
      <c r="R13" s="14">
        <f t="shared" si="12"/>
        <v>105105000</v>
      </c>
      <c r="S13" s="26">
        <f t="shared" si="13"/>
        <v>45045000.000000007</v>
      </c>
      <c r="T13" s="3"/>
      <c r="U13" s="2"/>
      <c r="V13" s="375"/>
      <c r="W13" s="16" t="str">
        <f t="shared" si="14"/>
        <v>JULIO</v>
      </c>
      <c r="X13" s="17">
        <f t="shared" si="15"/>
        <v>84502068.181818187</v>
      </c>
      <c r="Y13" s="17">
        <f t="shared" si="16"/>
        <v>52607200</v>
      </c>
      <c r="Z13" s="17">
        <f t="shared" si="17"/>
        <v>31894868.181818187</v>
      </c>
      <c r="AA13" s="27">
        <f>Z11+Z12</f>
        <v>58800206.818181813</v>
      </c>
      <c r="AC13" s="375"/>
      <c r="AD13" s="16" t="str">
        <f t="shared" si="18"/>
        <v>JULIO</v>
      </c>
      <c r="AE13" s="17">
        <f t="shared" si="19"/>
        <v>444747727.27272725</v>
      </c>
      <c r="AF13" s="17">
        <f t="shared" si="20"/>
        <v>84502068.181818187</v>
      </c>
      <c r="AG13" s="17">
        <f t="shared" si="21"/>
        <v>396937346.59090906</v>
      </c>
      <c r="AH13" s="17">
        <f t="shared" si="22"/>
        <v>127368607.38636363</v>
      </c>
      <c r="AI13" s="17">
        <f t="shared" si="23"/>
        <v>58800206.818181813</v>
      </c>
      <c r="AJ13" s="17">
        <f t="shared" si="24"/>
        <v>9589650</v>
      </c>
      <c r="AK13" s="17">
        <f t="shared" si="25"/>
        <v>223857480</v>
      </c>
      <c r="AL13" s="27">
        <f t="shared" si="26"/>
        <v>94937535.000000015</v>
      </c>
      <c r="AO13" s="171" t="s">
        <v>160</v>
      </c>
      <c r="AP13" s="172">
        <v>5202529545.454545</v>
      </c>
      <c r="AQ13" s="172">
        <v>5672475809.090909</v>
      </c>
      <c r="AR13" s="172">
        <v>6067946834.1818171</v>
      </c>
      <c r="AS13" s="173">
        <v>0</v>
      </c>
    </row>
    <row r="14" spans="1:47" ht="15.75" customHeight="1">
      <c r="A14" s="1"/>
      <c r="B14" s="159" t="s">
        <v>43</v>
      </c>
      <c r="C14" s="11">
        <v>205</v>
      </c>
      <c r="D14" s="12">
        <f t="shared" si="5"/>
        <v>1000000</v>
      </c>
      <c r="E14" s="12">
        <f t="shared" si="6"/>
        <v>205000000</v>
      </c>
      <c r="F14" s="12">
        <f t="shared" si="1"/>
        <v>38950000</v>
      </c>
      <c r="G14" s="12">
        <f t="shared" si="2"/>
        <v>243950000</v>
      </c>
      <c r="H14" s="12">
        <f t="shared" si="7"/>
        <v>182962500</v>
      </c>
      <c r="I14" s="12">
        <f t="shared" si="8"/>
        <v>60392500</v>
      </c>
      <c r="J14" s="2"/>
      <c r="K14" s="167" t="s">
        <v>43</v>
      </c>
      <c r="L14" s="11">
        <v>200</v>
      </c>
      <c r="M14" s="12">
        <f t="shared" si="28"/>
        <v>650000</v>
      </c>
      <c r="N14" s="12">
        <f t="shared" si="3"/>
        <v>130000000</v>
      </c>
      <c r="O14" s="12">
        <f t="shared" si="9"/>
        <v>24700000</v>
      </c>
      <c r="P14" s="12">
        <f t="shared" si="10"/>
        <v>4550000</v>
      </c>
      <c r="Q14" s="13">
        <f t="shared" si="11"/>
        <v>150150000</v>
      </c>
      <c r="R14" s="14">
        <f t="shared" si="12"/>
        <v>105105000</v>
      </c>
      <c r="S14" s="26">
        <f t="shared" si="13"/>
        <v>45045000.000000007</v>
      </c>
      <c r="T14" s="3"/>
      <c r="U14" s="2"/>
      <c r="V14" s="375"/>
      <c r="W14" s="16" t="str">
        <f t="shared" si="14"/>
        <v>AGOSTO</v>
      </c>
      <c r="X14" s="17">
        <f t="shared" si="15"/>
        <v>83280281.818181813</v>
      </c>
      <c r="Y14" s="17">
        <f t="shared" si="16"/>
        <v>52930200</v>
      </c>
      <c r="Z14" s="17">
        <f t="shared" si="17"/>
        <v>30350081.818181813</v>
      </c>
      <c r="AA14" s="27"/>
      <c r="AC14" s="375"/>
      <c r="AD14" s="16" t="str">
        <f t="shared" si="18"/>
        <v>AGOSTO</v>
      </c>
      <c r="AE14" s="17">
        <f t="shared" si="19"/>
        <v>438317272.72727275</v>
      </c>
      <c r="AF14" s="17">
        <f t="shared" si="20"/>
        <v>83280281.818181813</v>
      </c>
      <c r="AG14" s="17">
        <f t="shared" si="21"/>
        <v>391198165.90909088</v>
      </c>
      <c r="AH14" s="17">
        <f t="shared" si="22"/>
        <v>132312448.86363636</v>
      </c>
      <c r="AI14" s="17">
        <f t="shared" si="23"/>
        <v>0</v>
      </c>
      <c r="AJ14" s="17">
        <f t="shared" si="24"/>
        <v>9690800</v>
      </c>
      <c r="AK14" s="17">
        <f t="shared" si="25"/>
        <v>225231930</v>
      </c>
      <c r="AL14" s="27">
        <f t="shared" si="26"/>
        <v>95938920.000000015</v>
      </c>
      <c r="AO14" s="171" t="s">
        <v>161</v>
      </c>
      <c r="AP14" s="172">
        <v>4643257619.318182</v>
      </c>
      <c r="AQ14" s="172">
        <v>5062684659.613637</v>
      </c>
      <c r="AR14" s="172">
        <v>5415642549.5072727</v>
      </c>
      <c r="AS14" s="173">
        <v>0</v>
      </c>
    </row>
    <row r="15" spans="1:47" ht="15.75" customHeight="1">
      <c r="A15" s="1"/>
      <c r="B15" s="159" t="s">
        <v>44</v>
      </c>
      <c r="C15" s="11">
        <v>199</v>
      </c>
      <c r="D15" s="12">
        <f t="shared" si="5"/>
        <v>1000000</v>
      </c>
      <c r="E15" s="12">
        <f t="shared" si="6"/>
        <v>199000000</v>
      </c>
      <c r="F15" s="12">
        <f t="shared" si="1"/>
        <v>37810000</v>
      </c>
      <c r="G15" s="12">
        <f t="shared" si="2"/>
        <v>236810000</v>
      </c>
      <c r="H15" s="12">
        <f t="shared" si="7"/>
        <v>177607500</v>
      </c>
      <c r="I15" s="12">
        <f t="shared" si="8"/>
        <v>60987500</v>
      </c>
      <c r="J15" s="2"/>
      <c r="K15" s="167" t="s">
        <v>44</v>
      </c>
      <c r="L15" s="11">
        <v>210</v>
      </c>
      <c r="M15" s="12">
        <f t="shared" si="28"/>
        <v>650000</v>
      </c>
      <c r="N15" s="12">
        <f t="shared" si="3"/>
        <v>136500000</v>
      </c>
      <c r="O15" s="12">
        <f t="shared" si="9"/>
        <v>25935000</v>
      </c>
      <c r="P15" s="12">
        <f t="shared" si="10"/>
        <v>4777500</v>
      </c>
      <c r="Q15" s="13">
        <f t="shared" si="11"/>
        <v>157657500</v>
      </c>
      <c r="R15" s="14">
        <f t="shared" si="12"/>
        <v>110360250</v>
      </c>
      <c r="S15" s="26">
        <f t="shared" si="13"/>
        <v>45045000.000000007</v>
      </c>
      <c r="T15" s="3"/>
      <c r="U15" s="2"/>
      <c r="V15" s="375"/>
      <c r="W15" s="16" t="str">
        <f t="shared" si="14"/>
        <v>SEPTIEMBRE</v>
      </c>
      <c r="X15" s="17">
        <f t="shared" si="15"/>
        <v>79535727.272727281</v>
      </c>
      <c r="Y15" s="17">
        <f t="shared" si="16"/>
        <v>52194900</v>
      </c>
      <c r="Z15" s="17">
        <f t="shared" si="17"/>
        <v>27340827.272727281</v>
      </c>
      <c r="AA15" s="27">
        <f>Z13+Z14</f>
        <v>62244950</v>
      </c>
      <c r="AC15" s="375"/>
      <c r="AD15" s="16" t="str">
        <f t="shared" si="18"/>
        <v>SEPTIEMBRE</v>
      </c>
      <c r="AE15" s="17">
        <f t="shared" si="19"/>
        <v>418609090.90909088</v>
      </c>
      <c r="AF15" s="17">
        <f t="shared" si="20"/>
        <v>79535727.272727281</v>
      </c>
      <c r="AG15" s="17">
        <f t="shared" si="21"/>
        <v>373608613.63636363</v>
      </c>
      <c r="AH15" s="17">
        <f t="shared" si="22"/>
        <v>130399388.63636363</v>
      </c>
      <c r="AI15" s="17">
        <f t="shared" si="23"/>
        <v>62244950</v>
      </c>
      <c r="AJ15" s="17">
        <f t="shared" si="24"/>
        <v>9750300</v>
      </c>
      <c r="AK15" s="17">
        <f t="shared" si="25"/>
        <v>222103035</v>
      </c>
      <c r="AL15" s="27">
        <f t="shared" si="26"/>
        <v>96527970.000000015</v>
      </c>
      <c r="AO15" s="171" t="s">
        <v>162</v>
      </c>
      <c r="AP15" s="172">
        <v>1408650667.6136363</v>
      </c>
      <c r="AQ15" s="172">
        <v>1674992546.0227275</v>
      </c>
      <c r="AR15" s="172">
        <v>1794755537.3490911</v>
      </c>
      <c r="AS15" s="173">
        <v>162129525.16090909</v>
      </c>
    </row>
    <row r="16" spans="1:47" ht="15.75" customHeight="1">
      <c r="A16" s="1"/>
      <c r="B16" s="159" t="s">
        <v>45</v>
      </c>
      <c r="C16" s="11">
        <v>201</v>
      </c>
      <c r="D16" s="12">
        <f t="shared" si="5"/>
        <v>1000000</v>
      </c>
      <c r="E16" s="12">
        <f t="shared" si="6"/>
        <v>201000000</v>
      </c>
      <c r="F16" s="12">
        <f t="shared" si="1"/>
        <v>38190000</v>
      </c>
      <c r="G16" s="12">
        <f t="shared" si="2"/>
        <v>239190000</v>
      </c>
      <c r="H16" s="12">
        <f t="shared" si="7"/>
        <v>179392500</v>
      </c>
      <c r="I16" s="12">
        <f t="shared" si="8"/>
        <v>59202500</v>
      </c>
      <c r="J16" s="2"/>
      <c r="K16" s="167" t="s">
        <v>45</v>
      </c>
      <c r="L16" s="11">
        <v>200</v>
      </c>
      <c r="M16" s="12">
        <f t="shared" si="28"/>
        <v>650000</v>
      </c>
      <c r="N16" s="12">
        <f t="shared" si="3"/>
        <v>130000000</v>
      </c>
      <c r="O16" s="12">
        <f t="shared" si="9"/>
        <v>24700000</v>
      </c>
      <c r="P16" s="12">
        <f t="shared" si="10"/>
        <v>4550000</v>
      </c>
      <c r="Q16" s="13">
        <f t="shared" si="11"/>
        <v>150150000</v>
      </c>
      <c r="R16" s="14">
        <f t="shared" si="12"/>
        <v>105105000</v>
      </c>
      <c r="S16" s="26">
        <f t="shared" si="13"/>
        <v>47297250.000000007</v>
      </c>
      <c r="T16" s="3"/>
      <c r="U16" s="2"/>
      <c r="V16" s="375"/>
      <c r="W16" s="16" t="str">
        <f t="shared" si="14"/>
        <v>OCTUBRE</v>
      </c>
      <c r="X16" s="17">
        <f t="shared" si="15"/>
        <v>83121502.272727281</v>
      </c>
      <c r="Y16" s="17">
        <f t="shared" si="16"/>
        <v>52348800</v>
      </c>
      <c r="Z16" s="17">
        <f t="shared" si="17"/>
        <v>30772702.272727281</v>
      </c>
      <c r="AA16" s="27"/>
      <c r="AC16" s="375"/>
      <c r="AD16" s="16" t="str">
        <f t="shared" si="18"/>
        <v>OCTUBRE</v>
      </c>
      <c r="AE16" s="17">
        <f t="shared" si="19"/>
        <v>437481590.90909088</v>
      </c>
      <c r="AF16" s="17">
        <f t="shared" si="20"/>
        <v>83121502.272727281</v>
      </c>
      <c r="AG16" s="17">
        <f t="shared" si="21"/>
        <v>390452319.88636363</v>
      </c>
      <c r="AH16" s="17">
        <f t="shared" si="22"/>
        <v>124536204.54545455</v>
      </c>
      <c r="AI16" s="17">
        <f t="shared" si="23"/>
        <v>0</v>
      </c>
      <c r="AJ16" s="17">
        <f t="shared" si="24"/>
        <v>9614850</v>
      </c>
      <c r="AK16" s="17">
        <f t="shared" si="25"/>
        <v>222757920</v>
      </c>
      <c r="AL16" s="27">
        <f t="shared" si="26"/>
        <v>95187015.000000015</v>
      </c>
      <c r="AO16" s="171" t="s">
        <v>163</v>
      </c>
      <c r="AP16" s="172">
        <v>296003772.27272725</v>
      </c>
      <c r="AQ16" s="172">
        <v>384634317.4636364</v>
      </c>
      <c r="AR16" s="172">
        <v>410283464.8403635</v>
      </c>
      <c r="AS16" s="173">
        <v>73328574.809454516</v>
      </c>
    </row>
    <row r="17" spans="1:45" ht="15.75" customHeight="1" thickBot="1">
      <c r="A17" s="1"/>
      <c r="B17" s="159" t="s">
        <v>46</v>
      </c>
      <c r="C17" s="31">
        <v>204</v>
      </c>
      <c r="D17" s="12">
        <f t="shared" si="5"/>
        <v>1000000</v>
      </c>
      <c r="E17" s="12">
        <f t="shared" si="6"/>
        <v>204000000</v>
      </c>
      <c r="F17" s="12">
        <f t="shared" si="1"/>
        <v>38760000</v>
      </c>
      <c r="G17" s="12">
        <f t="shared" si="2"/>
        <v>242760000</v>
      </c>
      <c r="H17" s="12">
        <f t="shared" si="7"/>
        <v>182070000</v>
      </c>
      <c r="I17" s="12">
        <f t="shared" si="8"/>
        <v>59797500</v>
      </c>
      <c r="J17" s="2"/>
      <c r="K17" s="167" t="s">
        <v>46</v>
      </c>
      <c r="L17" s="11">
        <v>200</v>
      </c>
      <c r="M17" s="12">
        <f t="shared" si="28"/>
        <v>650000</v>
      </c>
      <c r="N17" s="12">
        <f t="shared" si="3"/>
        <v>130000000</v>
      </c>
      <c r="O17" s="12">
        <f t="shared" si="9"/>
        <v>24700000</v>
      </c>
      <c r="P17" s="12">
        <f t="shared" si="10"/>
        <v>4550000</v>
      </c>
      <c r="Q17" s="13">
        <f t="shared" si="11"/>
        <v>150150000</v>
      </c>
      <c r="R17" s="14">
        <f t="shared" si="12"/>
        <v>105105000</v>
      </c>
      <c r="S17" s="26">
        <f t="shared" si="13"/>
        <v>45045000.000000007</v>
      </c>
      <c r="T17" s="3"/>
      <c r="U17" s="2"/>
      <c r="V17" s="375"/>
      <c r="W17" s="16" t="str">
        <f t="shared" si="14"/>
        <v>NOVIEMBRE</v>
      </c>
      <c r="X17" s="17">
        <f t="shared" si="15"/>
        <v>82695340.909090906</v>
      </c>
      <c r="Y17" s="17">
        <f t="shared" si="16"/>
        <v>51509000</v>
      </c>
      <c r="Z17" s="17">
        <f t="shared" si="17"/>
        <v>31186340.909090906</v>
      </c>
      <c r="AA17" s="27">
        <f>Z15+Z16</f>
        <v>58113529.545454562</v>
      </c>
      <c r="AC17" s="375"/>
      <c r="AD17" s="16" t="str">
        <f t="shared" si="18"/>
        <v>NOVIEMBRE</v>
      </c>
      <c r="AE17" s="17">
        <f t="shared" si="19"/>
        <v>435238636.36363637</v>
      </c>
      <c r="AF17" s="17">
        <f t="shared" si="20"/>
        <v>82695340.909090906</v>
      </c>
      <c r="AG17" s="17">
        <f t="shared" si="21"/>
        <v>388450482.9545455</v>
      </c>
      <c r="AH17" s="33">
        <f t="shared" si="22"/>
        <v>130150773.29545455</v>
      </c>
      <c r="AI17" s="17">
        <f t="shared" si="23"/>
        <v>58113529.545454562</v>
      </c>
      <c r="AJ17" s="17">
        <f t="shared" si="24"/>
        <v>9643200</v>
      </c>
      <c r="AK17" s="17">
        <f t="shared" si="25"/>
        <v>219184350</v>
      </c>
      <c r="AL17" s="34">
        <f t="shared" si="26"/>
        <v>95467680.000000015</v>
      </c>
      <c r="AO17" s="171" t="s">
        <v>164</v>
      </c>
      <c r="AP17" s="172">
        <v>105451745</v>
      </c>
      <c r="AQ17" s="172">
        <v>125697858.30000001</v>
      </c>
      <c r="AR17" s="172">
        <v>135176031.48000002</v>
      </c>
      <c r="AS17" s="173">
        <v>12210562.728000002</v>
      </c>
    </row>
    <row r="18" spans="1:45" ht="15.75" customHeight="1" thickBot="1">
      <c r="A18" s="1"/>
      <c r="B18" s="160" t="s">
        <v>47</v>
      </c>
      <c r="C18" s="16">
        <v>210</v>
      </c>
      <c r="D18" s="12">
        <f t="shared" si="5"/>
        <v>1000000</v>
      </c>
      <c r="E18" s="12">
        <f t="shared" si="6"/>
        <v>210000000</v>
      </c>
      <c r="F18" s="12">
        <f t="shared" si="1"/>
        <v>39900000</v>
      </c>
      <c r="G18" s="12">
        <f t="shared" si="2"/>
        <v>249900000</v>
      </c>
      <c r="H18" s="12">
        <f t="shared" si="7"/>
        <v>187425000</v>
      </c>
      <c r="I18" s="12">
        <f t="shared" si="8"/>
        <v>60690000</v>
      </c>
      <c r="J18" s="2"/>
      <c r="K18" s="167" t="s">
        <v>47</v>
      </c>
      <c r="L18" s="11">
        <v>210</v>
      </c>
      <c r="M18" s="12">
        <f t="shared" si="28"/>
        <v>650000</v>
      </c>
      <c r="N18" s="12">
        <f t="shared" si="3"/>
        <v>136500000</v>
      </c>
      <c r="O18" s="12">
        <f t="shared" si="9"/>
        <v>25935000</v>
      </c>
      <c r="P18" s="12">
        <f t="shared" si="10"/>
        <v>4777500</v>
      </c>
      <c r="Q18" s="13">
        <f t="shared" si="11"/>
        <v>157657500</v>
      </c>
      <c r="R18" s="14">
        <f t="shared" si="12"/>
        <v>110360250</v>
      </c>
      <c r="S18" s="26">
        <f t="shared" si="13"/>
        <v>45045000.000000007</v>
      </c>
      <c r="T18" s="3"/>
      <c r="U18" s="2"/>
      <c r="V18" s="375"/>
      <c r="W18" s="16" t="str">
        <f t="shared" si="14"/>
        <v>DICIEMBRE</v>
      </c>
      <c r="X18" s="17">
        <f t="shared" si="15"/>
        <v>88838170.454545453</v>
      </c>
      <c r="Y18" s="17">
        <f t="shared" si="16"/>
        <v>56393900</v>
      </c>
      <c r="Z18" s="17">
        <f t="shared" si="17"/>
        <v>32444270.454545453</v>
      </c>
      <c r="AA18" s="27"/>
      <c r="AC18" s="372"/>
      <c r="AD18" s="32" t="str">
        <f t="shared" si="18"/>
        <v>DICIEMBRE</v>
      </c>
      <c r="AE18" s="33">
        <f t="shared" si="19"/>
        <v>467569318.18181813</v>
      </c>
      <c r="AF18" s="33">
        <f t="shared" si="20"/>
        <v>88838170.454545453</v>
      </c>
      <c r="AG18" s="33">
        <f t="shared" si="21"/>
        <v>417305616.47727269</v>
      </c>
      <c r="AH18" s="20">
        <f t="shared" si="22"/>
        <v>129483494.31818181</v>
      </c>
      <c r="AI18" s="33">
        <f t="shared" si="23"/>
        <v>0</v>
      </c>
      <c r="AJ18" s="33">
        <f t="shared" si="24"/>
        <v>9488500</v>
      </c>
      <c r="AK18" s="33">
        <f t="shared" si="25"/>
        <v>239970885</v>
      </c>
      <c r="AL18" s="41">
        <f t="shared" si="26"/>
        <v>93936150.000000015</v>
      </c>
      <c r="AO18" s="171" t="s">
        <v>165</v>
      </c>
      <c r="AP18" s="172">
        <v>2675906194.5</v>
      </c>
      <c r="AQ18" s="172">
        <v>2926114096.29</v>
      </c>
      <c r="AR18" s="172">
        <v>3142165871.6447997</v>
      </c>
      <c r="AS18" s="173">
        <v>0</v>
      </c>
    </row>
    <row r="19" spans="1:45" ht="15.75" customHeight="1" thickBot="1">
      <c r="A19" s="1"/>
      <c r="B19" s="35"/>
      <c r="C19" s="36"/>
      <c r="D19" s="37"/>
      <c r="E19" s="37"/>
      <c r="F19" s="2"/>
      <c r="G19" s="37"/>
      <c r="H19" s="2"/>
      <c r="I19" s="12">
        <f t="shared" si="8"/>
        <v>62475000</v>
      </c>
      <c r="J19" s="2"/>
      <c r="K19" s="167" t="s">
        <v>36</v>
      </c>
      <c r="L19" s="11"/>
      <c r="M19" s="12"/>
      <c r="N19" s="12"/>
      <c r="O19" s="12"/>
      <c r="P19" s="12"/>
      <c r="Q19" s="38"/>
      <c r="R19" s="39"/>
      <c r="S19" s="26">
        <f t="shared" si="13"/>
        <v>47297250.000000007</v>
      </c>
      <c r="T19" s="3"/>
      <c r="U19" s="2"/>
      <c r="V19" s="375">
        <v>2022</v>
      </c>
      <c r="W19" s="39" t="str">
        <f>W7</f>
        <v>ENERO</v>
      </c>
      <c r="X19" s="14">
        <f>F66+F85+F104</f>
        <v>86371259.681818187</v>
      </c>
      <c r="Y19" s="14">
        <f t="shared" ref="Y19:Y30" si="30">O66+O85+O104</f>
        <v>57045543</v>
      </c>
      <c r="Z19" s="17">
        <f t="shared" si="17"/>
        <v>29325716.681818187</v>
      </c>
      <c r="AA19" s="27">
        <f>Z17+Z18</f>
        <v>63630611.36363636</v>
      </c>
      <c r="AC19" s="371">
        <v>2022</v>
      </c>
      <c r="AD19" s="19" t="str">
        <f t="shared" si="18"/>
        <v>ENERO</v>
      </c>
      <c r="AE19" s="40">
        <f>E66+E85+E104</f>
        <v>454585577.27272725</v>
      </c>
      <c r="AF19" s="20">
        <f t="shared" si="20"/>
        <v>86371259.681818187</v>
      </c>
      <c r="AG19" s="40">
        <f>H66+H85+H104</f>
        <v>405717627.71590906</v>
      </c>
      <c r="AH19" s="17">
        <f t="shared" si="22"/>
        <v>139101872.15909091</v>
      </c>
      <c r="AI19" s="20">
        <f t="shared" si="23"/>
        <v>63630611.36363636</v>
      </c>
      <c r="AJ19" s="20">
        <f t="shared" si="24"/>
        <v>10388350</v>
      </c>
      <c r="AK19" s="40">
        <f t="shared" ref="AK19:AK30" si="31">R66+R85+R104</f>
        <v>242743797.44999999</v>
      </c>
      <c r="AL19" s="27">
        <f t="shared" si="26"/>
        <v>102844665.00000001</v>
      </c>
      <c r="AO19" s="174" t="s">
        <v>166</v>
      </c>
      <c r="AP19" s="175">
        <v>1043972275.5000001</v>
      </c>
      <c r="AQ19" s="175">
        <v>1244408797.1700001</v>
      </c>
      <c r="AR19" s="175">
        <v>1338242711.6520002</v>
      </c>
      <c r="AS19" s="176">
        <v>120884571.00720002</v>
      </c>
    </row>
    <row r="20" spans="1:45" ht="15.75" customHeight="1">
      <c r="A20" s="1"/>
      <c r="B20" s="35"/>
      <c r="C20" s="2"/>
      <c r="D20" s="37"/>
      <c r="E20" s="37"/>
      <c r="F20" s="2"/>
      <c r="G20" s="37"/>
      <c r="H20" s="2"/>
      <c r="J20" s="2"/>
      <c r="K20" s="167" t="s">
        <v>37</v>
      </c>
      <c r="L20" s="11"/>
      <c r="M20" s="12"/>
      <c r="N20" s="12"/>
      <c r="O20" s="12"/>
      <c r="P20" s="12"/>
      <c r="Q20" s="38"/>
      <c r="R20" s="39"/>
      <c r="T20" s="3"/>
      <c r="U20" s="2"/>
      <c r="V20" s="375"/>
      <c r="W20" s="39" t="str">
        <f t="shared" ref="W20:W30" si="32">W8</f>
        <v>FEBRERO</v>
      </c>
      <c r="X20" s="14">
        <f t="shared" ref="X20:X30" si="33">F67+F86+F105</f>
        <v>88378256.454545453</v>
      </c>
      <c r="Y20" s="14">
        <f t="shared" si="30"/>
        <v>56816148.399999999</v>
      </c>
      <c r="Z20" s="17">
        <f t="shared" si="17"/>
        <v>31562108.054545455</v>
      </c>
      <c r="AA20" s="25"/>
      <c r="AC20" s="375"/>
      <c r="AD20" s="16" t="str">
        <f t="shared" si="18"/>
        <v>FEBRERO</v>
      </c>
      <c r="AE20" s="14">
        <f t="shared" ref="AE20:AE30" si="34">E67+E86+E105</f>
        <v>465148718.18181813</v>
      </c>
      <c r="AF20" s="17">
        <f t="shared" si="20"/>
        <v>88378256.454545453</v>
      </c>
      <c r="AG20" s="14">
        <f t="shared" ref="AG20:AG30" si="35">H67+H86+H105</f>
        <v>415145230.97727269</v>
      </c>
      <c r="AH20" s="14">
        <f t="shared" ref="AH20:AH31" si="36">I67+I86+I105</f>
        <v>135239209.23863637</v>
      </c>
      <c r="AI20" s="17">
        <f t="shared" si="23"/>
        <v>0</v>
      </c>
      <c r="AJ20" s="14">
        <f t="shared" ref="AJ20:AJ31" si="37">P66+P85+P104</f>
        <v>10508389.500000002</v>
      </c>
      <c r="AK20" s="14">
        <f t="shared" si="31"/>
        <v>241767663.06</v>
      </c>
      <c r="AL20" s="24">
        <f t="shared" ref="AL20:AL31" si="38">S67+S86+S105</f>
        <v>104033056.05000001</v>
      </c>
    </row>
    <row r="21" spans="1:45" ht="15.75" customHeight="1">
      <c r="A21" s="1"/>
      <c r="B21" s="35"/>
      <c r="C21" s="2"/>
      <c r="D21" s="37"/>
      <c r="E21" s="37"/>
      <c r="F21" s="2"/>
      <c r="G21" s="37"/>
      <c r="H21" s="2"/>
      <c r="I21" s="37"/>
      <c r="J21" s="2"/>
      <c r="K21" s="35"/>
      <c r="L21" s="36"/>
      <c r="M21" s="37"/>
      <c r="N21" s="37"/>
      <c r="O21" s="37"/>
      <c r="P21" s="37"/>
      <c r="Q21" s="36"/>
      <c r="R21" s="2"/>
      <c r="S21" s="37"/>
      <c r="T21" s="3"/>
      <c r="U21" s="2"/>
      <c r="V21" s="375"/>
      <c r="W21" s="39" t="str">
        <f t="shared" si="32"/>
        <v>MARZO</v>
      </c>
      <c r="X21" s="14">
        <f t="shared" si="33"/>
        <v>86406687.772727281</v>
      </c>
      <c r="Y21" s="14">
        <f t="shared" si="30"/>
        <v>54695607.799999997</v>
      </c>
      <c r="Z21" s="17">
        <f t="shared" si="17"/>
        <v>31711079.972727284</v>
      </c>
      <c r="AA21" s="27">
        <f>Z19+Z20</f>
        <v>60887824.736363642</v>
      </c>
      <c r="AC21" s="375"/>
      <c r="AD21" s="16" t="str">
        <f t="shared" si="18"/>
        <v>MARZO</v>
      </c>
      <c r="AE21" s="14">
        <f t="shared" si="34"/>
        <v>454772040.90909088</v>
      </c>
      <c r="AF21" s="17">
        <f t="shared" si="20"/>
        <v>86406687.772727281</v>
      </c>
      <c r="AG21" s="14">
        <f t="shared" si="35"/>
        <v>405884046.51136363</v>
      </c>
      <c r="AH21" s="14">
        <f t="shared" si="36"/>
        <v>138381743.65909091</v>
      </c>
      <c r="AI21" s="17">
        <f t="shared" si="23"/>
        <v>60887824.736363642</v>
      </c>
      <c r="AJ21" s="14">
        <f t="shared" si="37"/>
        <v>10466132.600000001</v>
      </c>
      <c r="AK21" s="14">
        <f t="shared" si="31"/>
        <v>232744204.77000001</v>
      </c>
      <c r="AL21" s="24">
        <f t="shared" si="38"/>
        <v>103614712.74000002</v>
      </c>
    </row>
    <row r="22" spans="1:45" ht="15.75" customHeight="1">
      <c r="A22" s="1"/>
      <c r="B22" s="361" t="s">
        <v>1</v>
      </c>
      <c r="C22" s="362"/>
      <c r="D22" s="362"/>
      <c r="E22" s="362"/>
      <c r="F22" s="362"/>
      <c r="G22" s="362"/>
      <c r="H22" s="362"/>
      <c r="I22" s="363"/>
      <c r="J22" s="5"/>
      <c r="K22" s="364" t="s">
        <v>2</v>
      </c>
      <c r="L22" s="365"/>
      <c r="M22" s="365"/>
      <c r="N22" s="365"/>
      <c r="O22" s="365"/>
      <c r="P22" s="365"/>
      <c r="Q22" s="365"/>
      <c r="R22" s="365"/>
      <c r="S22" s="366"/>
      <c r="T22" s="3"/>
      <c r="U22" s="2"/>
      <c r="V22" s="375"/>
      <c r="W22" s="39" t="str">
        <f t="shared" si="32"/>
        <v>ABRIL</v>
      </c>
      <c r="X22" s="14">
        <f t="shared" si="33"/>
        <v>88479917.681818187</v>
      </c>
      <c r="Y22" s="14">
        <f t="shared" si="30"/>
        <v>54421703.799999997</v>
      </c>
      <c r="Z22" s="17">
        <f t="shared" si="17"/>
        <v>34058213.88181819</v>
      </c>
      <c r="AA22" s="25"/>
      <c r="AC22" s="375"/>
      <c r="AD22" s="16" t="str">
        <f t="shared" si="18"/>
        <v>ABRIL</v>
      </c>
      <c r="AE22" s="14">
        <f t="shared" si="34"/>
        <v>465683777.27272725</v>
      </c>
      <c r="AF22" s="17">
        <f t="shared" si="20"/>
        <v>88479917.681818187</v>
      </c>
      <c r="AG22" s="14">
        <f t="shared" si="35"/>
        <v>415622771.21590906</v>
      </c>
      <c r="AH22" s="14">
        <f t="shared" si="36"/>
        <v>135294682.17045456</v>
      </c>
      <c r="AI22" s="17">
        <f t="shared" si="23"/>
        <v>0</v>
      </c>
      <c r="AJ22" s="14">
        <f t="shared" si="37"/>
        <v>10075506.700000001</v>
      </c>
      <c r="AK22" s="14">
        <f t="shared" si="31"/>
        <v>231578671.16999999</v>
      </c>
      <c r="AL22" s="24">
        <f t="shared" si="38"/>
        <v>99747516.330000013</v>
      </c>
    </row>
    <row r="23" spans="1:45" ht="15.75" customHeight="1">
      <c r="A23" s="1"/>
      <c r="B23" s="361" t="s">
        <v>53</v>
      </c>
      <c r="C23" s="362"/>
      <c r="D23" s="362"/>
      <c r="E23" s="362"/>
      <c r="F23" s="362"/>
      <c r="G23" s="362"/>
      <c r="H23" s="362"/>
      <c r="I23" s="363"/>
      <c r="J23" s="5"/>
      <c r="K23" s="364" t="str">
        <f>B23</f>
        <v xml:space="preserve">BICICLETA DE MONTAÑA </v>
      </c>
      <c r="L23" s="365"/>
      <c r="M23" s="365"/>
      <c r="N23" s="365"/>
      <c r="O23" s="365"/>
      <c r="P23" s="365"/>
      <c r="Q23" s="365"/>
      <c r="R23" s="365"/>
      <c r="S23" s="366"/>
      <c r="T23" s="6"/>
      <c r="U23" s="5"/>
      <c r="V23" s="375"/>
      <c r="W23" s="39" t="str">
        <f t="shared" si="32"/>
        <v>MAYO</v>
      </c>
      <c r="X23" s="14">
        <f t="shared" si="33"/>
        <v>92082231.318181813</v>
      </c>
      <c r="Y23" s="14">
        <f t="shared" si="30"/>
        <v>60050833.799999997</v>
      </c>
      <c r="Z23" s="17">
        <f t="shared" si="17"/>
        <v>32031397.518181816</v>
      </c>
      <c r="AA23" s="27">
        <f>Z21+Z22</f>
        <v>65769293.854545474</v>
      </c>
      <c r="AC23" s="375"/>
      <c r="AD23" s="16" t="str">
        <f t="shared" si="18"/>
        <v>MAYO</v>
      </c>
      <c r="AE23" s="14">
        <f t="shared" si="34"/>
        <v>484643322.72727275</v>
      </c>
      <c r="AF23" s="17">
        <f t="shared" si="20"/>
        <v>92082231.318181813</v>
      </c>
      <c r="AG23" s="14">
        <f t="shared" si="35"/>
        <v>432544165.53409088</v>
      </c>
      <c r="AH23" s="14">
        <f t="shared" si="36"/>
        <v>138540923.73863637</v>
      </c>
      <c r="AI23" s="17">
        <f t="shared" si="23"/>
        <v>65769293.854545474</v>
      </c>
      <c r="AJ23" s="14">
        <f t="shared" si="37"/>
        <v>10025050.700000001</v>
      </c>
      <c r="AK23" s="14">
        <f t="shared" si="31"/>
        <v>255532100.66999996</v>
      </c>
      <c r="AL23" s="24">
        <f t="shared" si="38"/>
        <v>99248001.930000007</v>
      </c>
    </row>
    <row r="24" spans="1:45" ht="15.75" customHeight="1">
      <c r="A24" s="1"/>
      <c r="B24" s="367" t="s">
        <v>11</v>
      </c>
      <c r="C24" s="367" t="s">
        <v>24</v>
      </c>
      <c r="D24" s="367" t="s">
        <v>25</v>
      </c>
      <c r="E24" s="367" t="s">
        <v>26</v>
      </c>
      <c r="F24" s="161" t="s">
        <v>17</v>
      </c>
      <c r="G24" s="367" t="s">
        <v>27</v>
      </c>
      <c r="H24" s="161" t="s">
        <v>28</v>
      </c>
      <c r="I24" s="161" t="s">
        <v>29</v>
      </c>
      <c r="J24" s="5"/>
      <c r="K24" s="356" t="s">
        <v>11</v>
      </c>
      <c r="L24" s="356" t="s">
        <v>24</v>
      </c>
      <c r="M24" s="356" t="s">
        <v>30</v>
      </c>
      <c r="N24" s="356" t="s">
        <v>31</v>
      </c>
      <c r="O24" s="163" t="s">
        <v>17</v>
      </c>
      <c r="P24" s="163" t="s">
        <v>32</v>
      </c>
      <c r="Q24" s="356" t="s">
        <v>33</v>
      </c>
      <c r="R24" s="163" t="s">
        <v>34</v>
      </c>
      <c r="S24" s="163" t="s">
        <v>35</v>
      </c>
      <c r="T24" s="6"/>
      <c r="U24" s="5"/>
      <c r="V24" s="375"/>
      <c r="W24" s="39" t="str">
        <f t="shared" si="32"/>
        <v>JUNIO</v>
      </c>
      <c r="X24" s="14">
        <f t="shared" si="33"/>
        <v>88615084.545454547</v>
      </c>
      <c r="Y24" s="14">
        <f t="shared" si="30"/>
        <v>56894895.799999997</v>
      </c>
      <c r="Z24" s="17">
        <f t="shared" si="17"/>
        <v>31720188.74545455</v>
      </c>
      <c r="AA24" s="42"/>
      <c r="AB24" s="2"/>
      <c r="AC24" s="375"/>
      <c r="AD24" s="16" t="str">
        <f t="shared" si="18"/>
        <v>JUNIO</v>
      </c>
      <c r="AE24" s="14">
        <f t="shared" si="34"/>
        <v>466395181.81818181</v>
      </c>
      <c r="AF24" s="17">
        <f t="shared" si="20"/>
        <v>88615084.545454547</v>
      </c>
      <c r="AG24" s="14">
        <f t="shared" si="35"/>
        <v>416257699.77272725</v>
      </c>
      <c r="AH24" s="14">
        <f t="shared" si="36"/>
        <v>144181388.51136363</v>
      </c>
      <c r="AI24" s="17">
        <f t="shared" si="23"/>
        <v>0</v>
      </c>
      <c r="AJ24" s="14">
        <f t="shared" si="37"/>
        <v>11061995.700000001</v>
      </c>
      <c r="AK24" s="14">
        <f t="shared" si="31"/>
        <v>242102753.96999997</v>
      </c>
      <c r="AL24" s="24">
        <f t="shared" si="38"/>
        <v>109513757.43000001</v>
      </c>
    </row>
    <row r="25" spans="1:45" ht="15.75" customHeight="1">
      <c r="A25" s="1"/>
      <c r="B25" s="368"/>
      <c r="C25" s="368"/>
      <c r="D25" s="368"/>
      <c r="E25" s="368"/>
      <c r="F25" s="162">
        <v>0.19</v>
      </c>
      <c r="G25" s="368"/>
      <c r="H25" s="162">
        <v>0.75</v>
      </c>
      <c r="I25" s="162">
        <f>100%-H25</f>
        <v>0.25</v>
      </c>
      <c r="J25" s="5"/>
      <c r="K25" s="357"/>
      <c r="L25" s="357"/>
      <c r="M25" s="357"/>
      <c r="N25" s="357"/>
      <c r="O25" s="164">
        <v>0.19</v>
      </c>
      <c r="P25" s="165">
        <v>3.5000000000000003E-2</v>
      </c>
      <c r="Q25" s="357"/>
      <c r="R25" s="166">
        <v>0.7</v>
      </c>
      <c r="S25" s="164">
        <f>1-R25</f>
        <v>0.30000000000000004</v>
      </c>
      <c r="T25" s="6"/>
      <c r="U25" s="5"/>
      <c r="V25" s="375"/>
      <c r="W25" s="39" t="str">
        <f t="shared" si="32"/>
        <v>JULIO</v>
      </c>
      <c r="X25" s="14">
        <f t="shared" si="33"/>
        <v>92163340.590909094</v>
      </c>
      <c r="Y25" s="14">
        <f t="shared" si="30"/>
        <v>57535146.399999999</v>
      </c>
      <c r="Z25" s="17">
        <f t="shared" si="17"/>
        <v>34628194.190909095</v>
      </c>
      <c r="AA25" s="27">
        <f>Z23+Z24</f>
        <v>63751586.263636366</v>
      </c>
      <c r="AB25" s="2"/>
      <c r="AC25" s="375"/>
      <c r="AD25" s="16" t="str">
        <f t="shared" si="18"/>
        <v>JULIO</v>
      </c>
      <c r="AE25" s="14">
        <f t="shared" si="34"/>
        <v>485070213.63636363</v>
      </c>
      <c r="AF25" s="17">
        <f t="shared" si="20"/>
        <v>92163340.590909094</v>
      </c>
      <c r="AG25" s="14">
        <f t="shared" si="35"/>
        <v>432925165.6704545</v>
      </c>
      <c r="AH25" s="14">
        <f t="shared" si="36"/>
        <v>138752566.59090909</v>
      </c>
      <c r="AI25" s="17">
        <f t="shared" si="23"/>
        <v>63751586.263636366</v>
      </c>
      <c r="AJ25" s="14">
        <f t="shared" si="37"/>
        <v>10480638.700000001</v>
      </c>
      <c r="AK25" s="14">
        <f t="shared" si="31"/>
        <v>244827188.75999999</v>
      </c>
      <c r="AL25" s="24">
        <f t="shared" si="38"/>
        <v>103758323.13000003</v>
      </c>
    </row>
    <row r="26" spans="1:45" ht="15.75" customHeight="1">
      <c r="A26" s="1"/>
      <c r="B26" s="159" t="s">
        <v>36</v>
      </c>
      <c r="C26" s="11">
        <v>250</v>
      </c>
      <c r="D26" s="12">
        <f>M26/(1-45%)</f>
        <v>525454.54545454541</v>
      </c>
      <c r="E26" s="12">
        <f>C26*D26</f>
        <v>131363636.36363636</v>
      </c>
      <c r="F26" s="12">
        <f t="shared" ref="F26:F37" si="39">E26*0.19</f>
        <v>24959090.90909091</v>
      </c>
      <c r="G26" s="12">
        <f t="shared" ref="G26:G37" si="40">E26+F26</f>
        <v>156322727.27272728</v>
      </c>
      <c r="H26" s="12">
        <f>G26*$H$6</f>
        <v>117242045.45454547</v>
      </c>
      <c r="I26" s="12"/>
      <c r="J26" s="2"/>
      <c r="K26" s="167" t="s">
        <v>36</v>
      </c>
      <c r="L26" s="11">
        <v>252</v>
      </c>
      <c r="M26" s="12">
        <v>289000</v>
      </c>
      <c r="N26" s="12">
        <f t="shared" ref="N26:N37" si="41">L26*M26</f>
        <v>72828000</v>
      </c>
      <c r="O26" s="12">
        <f>N26*$O$6</f>
        <v>13837320</v>
      </c>
      <c r="P26" s="12">
        <f>N26*$P$6</f>
        <v>2548980.0000000005</v>
      </c>
      <c r="Q26" s="13">
        <f>N26+O26-P26</f>
        <v>84116340</v>
      </c>
      <c r="R26" s="14">
        <f>Q26*$R$6</f>
        <v>58881437.999999993</v>
      </c>
      <c r="S26" s="15"/>
      <c r="T26" s="6"/>
      <c r="U26" s="5"/>
      <c r="V26" s="375"/>
      <c r="W26" s="39" t="str">
        <f t="shared" si="32"/>
        <v>AGOSTO</v>
      </c>
      <c r="X26" s="14">
        <f t="shared" si="33"/>
        <v>90868247.045454547</v>
      </c>
      <c r="Y26" s="14">
        <f t="shared" si="30"/>
        <v>57819321.799999997</v>
      </c>
      <c r="Z26" s="17">
        <f t="shared" si="17"/>
        <v>33048925.24545455</v>
      </c>
      <c r="AA26" s="42"/>
      <c r="AB26" s="2"/>
      <c r="AC26" s="375"/>
      <c r="AD26" s="16" t="str">
        <f t="shared" si="18"/>
        <v>AGOSTO</v>
      </c>
      <c r="AE26" s="14">
        <f t="shared" si="34"/>
        <v>478253931.81818181</v>
      </c>
      <c r="AF26" s="17">
        <f t="shared" si="20"/>
        <v>90868247.045454547</v>
      </c>
      <c r="AG26" s="14">
        <f t="shared" si="35"/>
        <v>426841634.14772725</v>
      </c>
      <c r="AH26" s="14">
        <f t="shared" si="36"/>
        <v>144308388.55681819</v>
      </c>
      <c r="AI26" s="17">
        <f t="shared" si="23"/>
        <v>0</v>
      </c>
      <c r="AJ26" s="14">
        <f t="shared" si="37"/>
        <v>10598579.600000001</v>
      </c>
      <c r="AK26" s="14">
        <f t="shared" si="31"/>
        <v>246036429.86999997</v>
      </c>
      <c r="AL26" s="24">
        <f t="shared" si="38"/>
        <v>104925938.04000002</v>
      </c>
    </row>
    <row r="27" spans="1:45" ht="15.75" customHeight="1">
      <c r="A27" s="1"/>
      <c r="B27" s="159" t="s">
        <v>37</v>
      </c>
      <c r="C27" s="11">
        <v>256</v>
      </c>
      <c r="D27" s="12">
        <f t="shared" ref="D27:D37" si="42">M27/(1-45%)</f>
        <v>525454.54545454541</v>
      </c>
      <c r="E27" s="12">
        <f t="shared" ref="E27:E37" si="43">C27*D27</f>
        <v>134516363.63636363</v>
      </c>
      <c r="F27" s="12">
        <f t="shared" si="39"/>
        <v>25558109.09090909</v>
      </c>
      <c r="G27" s="12">
        <f t="shared" si="40"/>
        <v>160074472.72727272</v>
      </c>
      <c r="H27" s="12">
        <f t="shared" ref="H27:H37" si="44">G27*$H$6</f>
        <v>120055854.54545453</v>
      </c>
      <c r="I27" s="12">
        <f t="shared" ref="I27:I38" si="45">G26*$I$6</f>
        <v>39080681.81818182</v>
      </c>
      <c r="J27" s="2"/>
      <c r="K27" s="167" t="s">
        <v>37</v>
      </c>
      <c r="L27" s="11">
        <v>256</v>
      </c>
      <c r="M27" s="12">
        <f>M26</f>
        <v>289000</v>
      </c>
      <c r="N27" s="12">
        <f t="shared" si="41"/>
        <v>73984000</v>
      </c>
      <c r="O27" s="12">
        <f t="shared" ref="O27:O37" si="46">N27*$O$6</f>
        <v>14056960</v>
      </c>
      <c r="P27" s="12">
        <f t="shared" ref="P27:P37" si="47">N27*$P$6</f>
        <v>2589440.0000000005</v>
      </c>
      <c r="Q27" s="13">
        <f t="shared" ref="Q27:Q37" si="48">N27+O27-P27</f>
        <v>85451520</v>
      </c>
      <c r="R27" s="14">
        <f t="shared" ref="R27:R37" si="49">Q27*$R$6</f>
        <v>59816063.999999993</v>
      </c>
      <c r="S27" s="26">
        <f t="shared" ref="S27:S38" si="50">Q26*$S$6</f>
        <v>25234902.000000004</v>
      </c>
      <c r="T27" s="3"/>
      <c r="U27" s="2"/>
      <c r="V27" s="375"/>
      <c r="W27" s="39" t="str">
        <f t="shared" si="32"/>
        <v>SEPTIEMBRE</v>
      </c>
      <c r="X27" s="14">
        <f t="shared" si="33"/>
        <v>86591792.681818187</v>
      </c>
      <c r="Y27" s="14">
        <f t="shared" si="30"/>
        <v>57170813.799999997</v>
      </c>
      <c r="Z27" s="17">
        <f t="shared" si="17"/>
        <v>29420978.88181819</v>
      </c>
      <c r="AA27" s="27">
        <f>Z25+Z26</f>
        <v>67677119.436363637</v>
      </c>
      <c r="AB27" s="2"/>
      <c r="AC27" s="375"/>
      <c r="AD27" s="16" t="str">
        <f t="shared" si="18"/>
        <v>SEPTIEMBRE</v>
      </c>
      <c r="AE27" s="14">
        <f t="shared" si="34"/>
        <v>455746277.27272725</v>
      </c>
      <c r="AF27" s="17">
        <f t="shared" si="20"/>
        <v>86591792.681818187</v>
      </c>
      <c r="AG27" s="14">
        <f t="shared" si="35"/>
        <v>406753552.46590906</v>
      </c>
      <c r="AH27" s="14">
        <f t="shared" si="36"/>
        <v>142280544.71590909</v>
      </c>
      <c r="AI27" s="17">
        <f t="shared" si="23"/>
        <v>67677119.436363637</v>
      </c>
      <c r="AJ27" s="14">
        <f t="shared" si="37"/>
        <v>10650927.700000001</v>
      </c>
      <c r="AK27" s="14">
        <f t="shared" si="31"/>
        <v>243276857.66999996</v>
      </c>
      <c r="AL27" s="24">
        <f t="shared" si="38"/>
        <v>105444184.23000002</v>
      </c>
    </row>
    <row r="28" spans="1:45" ht="15.75" customHeight="1">
      <c r="A28" s="1"/>
      <c r="B28" s="159" t="s">
        <v>38</v>
      </c>
      <c r="C28" s="11">
        <v>252</v>
      </c>
      <c r="D28" s="12">
        <f t="shared" si="42"/>
        <v>525454.54545454541</v>
      </c>
      <c r="E28" s="12">
        <f t="shared" si="43"/>
        <v>132414545.45454544</v>
      </c>
      <c r="F28" s="12">
        <f t="shared" si="39"/>
        <v>25158763.636363633</v>
      </c>
      <c r="G28" s="12">
        <f t="shared" si="40"/>
        <v>157573309.09090906</v>
      </c>
      <c r="H28" s="12">
        <f t="shared" si="44"/>
        <v>118179981.8181818</v>
      </c>
      <c r="I28" s="12">
        <f t="shared" si="45"/>
        <v>40018618.18181818</v>
      </c>
      <c r="J28" s="2"/>
      <c r="K28" s="167" t="s">
        <v>38</v>
      </c>
      <c r="L28" s="11">
        <v>250</v>
      </c>
      <c r="M28" s="12">
        <f t="shared" ref="M28:M37" si="51">M27</f>
        <v>289000</v>
      </c>
      <c r="N28" s="12">
        <f t="shared" si="41"/>
        <v>72250000</v>
      </c>
      <c r="O28" s="12">
        <f t="shared" si="46"/>
        <v>13727500</v>
      </c>
      <c r="P28" s="12">
        <f t="shared" si="47"/>
        <v>2528750.0000000005</v>
      </c>
      <c r="Q28" s="13">
        <f t="shared" si="48"/>
        <v>83448750</v>
      </c>
      <c r="R28" s="14">
        <f t="shared" si="49"/>
        <v>58414125</v>
      </c>
      <c r="S28" s="26">
        <f t="shared" si="50"/>
        <v>25635456.000000004</v>
      </c>
      <c r="T28" s="3"/>
      <c r="U28" s="2"/>
      <c r="V28" s="375"/>
      <c r="W28" s="39" t="str">
        <f t="shared" si="32"/>
        <v>OCTUBRE</v>
      </c>
      <c r="X28" s="14">
        <f t="shared" si="33"/>
        <v>90699940.727272719</v>
      </c>
      <c r="Y28" s="14">
        <f t="shared" si="30"/>
        <v>57203037.799999997</v>
      </c>
      <c r="Z28" s="17">
        <f t="shared" si="17"/>
        <v>33496902.927272722</v>
      </c>
      <c r="AA28" s="18"/>
      <c r="AB28" s="2"/>
      <c r="AC28" s="375"/>
      <c r="AD28" s="16" t="str">
        <f t="shared" si="18"/>
        <v>OCTUBRE</v>
      </c>
      <c r="AE28" s="14">
        <f t="shared" si="34"/>
        <v>477368109.09090906</v>
      </c>
      <c r="AF28" s="17">
        <f t="shared" si="20"/>
        <v>90699940.727272719</v>
      </c>
      <c r="AG28" s="14">
        <f t="shared" si="35"/>
        <v>426051037.36363637</v>
      </c>
      <c r="AH28" s="14">
        <f t="shared" si="36"/>
        <v>135584517.48863637</v>
      </c>
      <c r="AI28" s="17">
        <f t="shared" si="23"/>
        <v>0</v>
      </c>
      <c r="AJ28" s="14">
        <f t="shared" si="37"/>
        <v>10531465.700000001</v>
      </c>
      <c r="AK28" s="14">
        <f t="shared" si="31"/>
        <v>243413979.26999998</v>
      </c>
      <c r="AL28" s="24">
        <f t="shared" si="38"/>
        <v>104261510.43000001</v>
      </c>
    </row>
    <row r="29" spans="1:45" ht="15.75" customHeight="1" thickBot="1">
      <c r="A29" s="1"/>
      <c r="B29" s="159" t="s">
        <v>39</v>
      </c>
      <c r="C29" s="11">
        <v>240</v>
      </c>
      <c r="D29" s="12">
        <f t="shared" si="42"/>
        <v>525454.54545454541</v>
      </c>
      <c r="E29" s="12">
        <f t="shared" si="43"/>
        <v>126109090.90909091</v>
      </c>
      <c r="F29" s="12">
        <f t="shared" si="39"/>
        <v>23960727.272727273</v>
      </c>
      <c r="G29" s="12">
        <f t="shared" si="40"/>
        <v>150069818.18181819</v>
      </c>
      <c r="H29" s="12">
        <f t="shared" si="44"/>
        <v>112552363.63636364</v>
      </c>
      <c r="I29" s="12">
        <f t="shared" si="45"/>
        <v>39393327.272727266</v>
      </c>
      <c r="J29" s="2"/>
      <c r="K29" s="167" t="s">
        <v>39</v>
      </c>
      <c r="L29" s="11">
        <v>240</v>
      </c>
      <c r="M29" s="12">
        <f t="shared" si="51"/>
        <v>289000</v>
      </c>
      <c r="N29" s="12">
        <f t="shared" si="41"/>
        <v>69360000</v>
      </c>
      <c r="O29" s="12">
        <f t="shared" si="46"/>
        <v>13178400</v>
      </c>
      <c r="P29" s="12">
        <f t="shared" si="47"/>
        <v>2427600</v>
      </c>
      <c r="Q29" s="13">
        <f t="shared" si="48"/>
        <v>80110800</v>
      </c>
      <c r="R29" s="14">
        <f t="shared" si="49"/>
        <v>56077560</v>
      </c>
      <c r="S29" s="26">
        <f t="shared" si="50"/>
        <v>25034625.000000004</v>
      </c>
      <c r="T29" s="3"/>
      <c r="U29" s="2"/>
      <c r="V29" s="375"/>
      <c r="W29" s="39" t="str">
        <f t="shared" si="32"/>
        <v>NOVIEMBRE</v>
      </c>
      <c r="X29" s="14">
        <f t="shared" si="33"/>
        <v>90248209.681818187</v>
      </c>
      <c r="Y29" s="14">
        <f t="shared" si="30"/>
        <v>56312849.799999997</v>
      </c>
      <c r="Z29" s="17">
        <f t="shared" si="17"/>
        <v>33935359.88181819</v>
      </c>
      <c r="AA29" s="27">
        <f>Z27+Z28</f>
        <v>62917881.809090912</v>
      </c>
      <c r="AB29" s="2"/>
      <c r="AC29" s="375"/>
      <c r="AD29" s="16" t="str">
        <f t="shared" si="18"/>
        <v>NOVIEMBRE</v>
      </c>
      <c r="AE29" s="14">
        <f t="shared" si="34"/>
        <v>474990577.27272725</v>
      </c>
      <c r="AF29" s="17">
        <f t="shared" si="20"/>
        <v>90248209.681818187</v>
      </c>
      <c r="AG29" s="14">
        <f t="shared" si="35"/>
        <v>423929090.21590906</v>
      </c>
      <c r="AH29" s="43">
        <f t="shared" si="36"/>
        <v>142017012.45454544</v>
      </c>
      <c r="AI29" s="17">
        <f t="shared" si="23"/>
        <v>62917881.809090912</v>
      </c>
      <c r="AJ29" s="14">
        <f t="shared" si="37"/>
        <v>10537401.700000001</v>
      </c>
      <c r="AK29" s="14">
        <f t="shared" si="31"/>
        <v>239625995.06999999</v>
      </c>
      <c r="AL29" s="44">
        <f t="shared" si="38"/>
        <v>104320276.83000001</v>
      </c>
    </row>
    <row r="30" spans="1:45" ht="15.75" customHeight="1" thickBot="1">
      <c r="A30" s="1"/>
      <c r="B30" s="159" t="s">
        <v>40</v>
      </c>
      <c r="C30" s="11">
        <v>264</v>
      </c>
      <c r="D30" s="12">
        <f t="shared" si="42"/>
        <v>525454.54545454541</v>
      </c>
      <c r="E30" s="12">
        <f t="shared" si="43"/>
        <v>138720000</v>
      </c>
      <c r="F30" s="12">
        <f t="shared" si="39"/>
        <v>26356800</v>
      </c>
      <c r="G30" s="12">
        <f t="shared" si="40"/>
        <v>165076800</v>
      </c>
      <c r="H30" s="12">
        <f t="shared" si="44"/>
        <v>123807600</v>
      </c>
      <c r="I30" s="12">
        <f t="shared" si="45"/>
        <v>37517454.545454547</v>
      </c>
      <c r="J30" s="2"/>
      <c r="K30" s="167" t="s">
        <v>40</v>
      </c>
      <c r="L30" s="11">
        <v>265</v>
      </c>
      <c r="M30" s="12">
        <f t="shared" si="51"/>
        <v>289000</v>
      </c>
      <c r="N30" s="12">
        <f t="shared" si="41"/>
        <v>76585000</v>
      </c>
      <c r="O30" s="12">
        <f t="shared" si="46"/>
        <v>14551150</v>
      </c>
      <c r="P30" s="12">
        <f t="shared" si="47"/>
        <v>2680475.0000000005</v>
      </c>
      <c r="Q30" s="13">
        <f t="shared" si="48"/>
        <v>88455675</v>
      </c>
      <c r="R30" s="14">
        <f t="shared" si="49"/>
        <v>61918972.499999993</v>
      </c>
      <c r="S30" s="26">
        <f t="shared" si="50"/>
        <v>24033240.000000004</v>
      </c>
      <c r="T30" s="3"/>
      <c r="U30" s="2"/>
      <c r="V30" s="375"/>
      <c r="W30" s="39" t="str">
        <f t="shared" si="32"/>
        <v>DICIEMBRE</v>
      </c>
      <c r="X30" s="14">
        <f t="shared" si="33"/>
        <v>96865435.545454547</v>
      </c>
      <c r="Y30" s="14">
        <f t="shared" si="30"/>
        <v>61679958.399999999</v>
      </c>
      <c r="Z30" s="17">
        <f t="shared" si="17"/>
        <v>35185477.145454548</v>
      </c>
      <c r="AA30" s="18"/>
      <c r="AB30" s="2"/>
      <c r="AC30" s="372"/>
      <c r="AD30" s="32" t="str">
        <f t="shared" si="18"/>
        <v>DICIEMBRE</v>
      </c>
      <c r="AE30" s="43">
        <f t="shared" si="34"/>
        <v>509818081.81818181</v>
      </c>
      <c r="AF30" s="33">
        <f t="shared" si="20"/>
        <v>96865435.545454547</v>
      </c>
      <c r="AG30" s="43">
        <f t="shared" si="35"/>
        <v>455012638.02272725</v>
      </c>
      <c r="AH30" s="40">
        <f t="shared" si="36"/>
        <v>141309696.73863637</v>
      </c>
      <c r="AI30" s="33">
        <f t="shared" si="23"/>
        <v>0</v>
      </c>
      <c r="AJ30" s="43">
        <f t="shared" si="37"/>
        <v>10373419.700000001</v>
      </c>
      <c r="AK30" s="43">
        <f t="shared" si="31"/>
        <v>262464454.56</v>
      </c>
      <c r="AL30" s="46">
        <f t="shared" si="38"/>
        <v>102696855.03</v>
      </c>
    </row>
    <row r="31" spans="1:45" ht="15.75" customHeight="1">
      <c r="A31" s="1"/>
      <c r="B31" s="159" t="s">
        <v>41</v>
      </c>
      <c r="C31" s="11">
        <v>258</v>
      </c>
      <c r="D31" s="12">
        <f t="shared" si="42"/>
        <v>525454.54545454541</v>
      </c>
      <c r="E31" s="12">
        <f t="shared" si="43"/>
        <v>135567272.72727272</v>
      </c>
      <c r="F31" s="12">
        <f t="shared" si="39"/>
        <v>25757781.818181816</v>
      </c>
      <c r="G31" s="12">
        <f t="shared" si="40"/>
        <v>161325054.54545453</v>
      </c>
      <c r="H31" s="12">
        <f t="shared" si="44"/>
        <v>120993790.90909091</v>
      </c>
      <c r="I31" s="12">
        <f t="shared" si="45"/>
        <v>41269200</v>
      </c>
      <c r="J31" s="2"/>
      <c r="K31" s="167" t="s">
        <v>41</v>
      </c>
      <c r="L31" s="11">
        <v>260</v>
      </c>
      <c r="M31" s="12">
        <f t="shared" si="51"/>
        <v>289000</v>
      </c>
      <c r="N31" s="12">
        <f t="shared" si="41"/>
        <v>75140000</v>
      </c>
      <c r="O31" s="12">
        <f t="shared" si="46"/>
        <v>14276600</v>
      </c>
      <c r="P31" s="12">
        <f t="shared" si="47"/>
        <v>2629900.0000000005</v>
      </c>
      <c r="Q31" s="13">
        <f t="shared" si="48"/>
        <v>86786700</v>
      </c>
      <c r="R31" s="14">
        <f t="shared" si="49"/>
        <v>60750689.999999993</v>
      </c>
      <c r="S31" s="26">
        <f t="shared" si="50"/>
        <v>26536702.500000004</v>
      </c>
      <c r="T31" s="3"/>
      <c r="U31" s="2"/>
      <c r="V31" s="375">
        <v>2023</v>
      </c>
      <c r="W31" s="16" t="str">
        <f>W19</f>
        <v>ENERO</v>
      </c>
      <c r="X31" s="9">
        <f>F125+F144+F163</f>
        <v>92311448.319999993</v>
      </c>
      <c r="Y31" s="17">
        <f t="shared" ref="Y31:Y42" si="52">O125+O144+O163</f>
        <v>61245353.311999999</v>
      </c>
      <c r="Z31" s="17">
        <f t="shared" si="17"/>
        <v>31066095.007999994</v>
      </c>
      <c r="AA31" s="27">
        <f>Z29+Z30</f>
        <v>69120837.027272731</v>
      </c>
      <c r="AB31" s="2"/>
      <c r="AC31" s="371">
        <v>2023</v>
      </c>
      <c r="AD31" s="19" t="str">
        <f t="shared" si="18"/>
        <v>ENERO</v>
      </c>
      <c r="AE31" s="45">
        <f>E125+E144+E163</f>
        <v>485849728</v>
      </c>
      <c r="AF31" s="20">
        <f t="shared" si="20"/>
        <v>92311448.319999993</v>
      </c>
      <c r="AG31" s="45">
        <f>H125+H144+H163</f>
        <v>433620882.24000001</v>
      </c>
      <c r="AH31" s="14">
        <f t="shared" si="36"/>
        <v>151670879.34090909</v>
      </c>
      <c r="AI31" s="20">
        <f t="shared" si="23"/>
        <v>69120837.027272731</v>
      </c>
      <c r="AJ31" s="40">
        <f t="shared" si="37"/>
        <v>11362097.600000001</v>
      </c>
      <c r="AK31" s="45">
        <f t="shared" ref="AK31:AK42" si="53">R125+R144+R163</f>
        <v>260615095.54080001</v>
      </c>
      <c r="AL31" s="24">
        <f t="shared" si="38"/>
        <v>112484766.24000001</v>
      </c>
    </row>
    <row r="32" spans="1:45" ht="15.75" customHeight="1">
      <c r="A32" s="1"/>
      <c r="B32" s="159" t="s">
        <v>42</v>
      </c>
      <c r="C32" s="11">
        <v>270</v>
      </c>
      <c r="D32" s="12">
        <f t="shared" si="42"/>
        <v>525454.54545454541</v>
      </c>
      <c r="E32" s="12">
        <f t="shared" si="43"/>
        <v>141872727.27272725</v>
      </c>
      <c r="F32" s="12">
        <f t="shared" si="39"/>
        <v>26955818.18181818</v>
      </c>
      <c r="G32" s="12">
        <f t="shared" si="40"/>
        <v>168828545.45454544</v>
      </c>
      <c r="H32" s="12">
        <f t="shared" si="44"/>
        <v>126621409.09090908</v>
      </c>
      <c r="I32" s="12">
        <f t="shared" si="45"/>
        <v>40331263.636363633</v>
      </c>
      <c r="J32" s="2"/>
      <c r="K32" s="167" t="s">
        <v>42</v>
      </c>
      <c r="L32" s="11">
        <v>270</v>
      </c>
      <c r="M32" s="12">
        <f t="shared" si="51"/>
        <v>289000</v>
      </c>
      <c r="N32" s="12">
        <f t="shared" si="41"/>
        <v>78030000</v>
      </c>
      <c r="O32" s="12">
        <f t="shared" si="46"/>
        <v>14825700</v>
      </c>
      <c r="P32" s="12">
        <f t="shared" si="47"/>
        <v>2731050.0000000005</v>
      </c>
      <c r="Q32" s="13">
        <f t="shared" si="48"/>
        <v>90124650</v>
      </c>
      <c r="R32" s="14">
        <f t="shared" si="49"/>
        <v>63087254.999999993</v>
      </c>
      <c r="S32" s="26">
        <f t="shared" si="50"/>
        <v>26036010.000000004</v>
      </c>
      <c r="T32" s="3"/>
      <c r="U32" s="2"/>
      <c r="V32" s="375"/>
      <c r="W32" s="16" t="str">
        <f t="shared" ref="W32:W44" si="54">W20</f>
        <v>FEBRERO</v>
      </c>
      <c r="X32" s="9">
        <f t="shared" ref="X32:X42" si="55">F126+F145+F164</f>
        <v>94608180.963636369</v>
      </c>
      <c r="Y32" s="17">
        <f t="shared" si="52"/>
        <v>61006782.928000003</v>
      </c>
      <c r="Z32" s="17">
        <f t="shared" si="17"/>
        <v>33601398.035636365</v>
      </c>
      <c r="AA32" s="27"/>
      <c r="AB32" s="2"/>
      <c r="AC32" s="375"/>
      <c r="AD32" s="16" t="str">
        <f t="shared" si="18"/>
        <v>FEBRERO</v>
      </c>
      <c r="AE32" s="9">
        <f t="shared" ref="AE32:AE42" si="56">E126+E145+E164</f>
        <v>497937794.5454545</v>
      </c>
      <c r="AF32" s="17">
        <f t="shared" si="20"/>
        <v>94608180.963636369</v>
      </c>
      <c r="AG32" s="9">
        <f t="shared" ref="AG32:AG42" si="57">H126+H145+H164</f>
        <v>444409481.63181818</v>
      </c>
      <c r="AH32" s="9">
        <f t="shared" ref="AH32:AH43" si="58">I126+I145+I164</f>
        <v>144540294.07999998</v>
      </c>
      <c r="AI32" s="17">
        <f t="shared" si="23"/>
        <v>0</v>
      </c>
      <c r="AJ32" s="9">
        <f t="shared" ref="AJ32:AJ43" si="59">P125+P144+P163</f>
        <v>11282038.768000001</v>
      </c>
      <c r="AK32" s="9">
        <f t="shared" si="53"/>
        <v>259599915.77519998</v>
      </c>
      <c r="AL32" s="10">
        <f t="shared" ref="AL32:AL43" si="60">S126+S145+S164</f>
        <v>111692183.80320002</v>
      </c>
    </row>
    <row r="33" spans="1:38" ht="15.75" customHeight="1">
      <c r="A33" s="1"/>
      <c r="B33" s="159" t="s">
        <v>43</v>
      </c>
      <c r="C33" s="11">
        <v>258</v>
      </c>
      <c r="D33" s="12">
        <f t="shared" si="42"/>
        <v>525454.54545454541</v>
      </c>
      <c r="E33" s="12">
        <f t="shared" si="43"/>
        <v>135567272.72727272</v>
      </c>
      <c r="F33" s="12">
        <f t="shared" si="39"/>
        <v>25757781.818181816</v>
      </c>
      <c r="G33" s="12">
        <f t="shared" si="40"/>
        <v>161325054.54545453</v>
      </c>
      <c r="H33" s="12">
        <f t="shared" si="44"/>
        <v>120993790.90909091</v>
      </c>
      <c r="I33" s="12">
        <f t="shared" si="45"/>
        <v>42207136.36363636</v>
      </c>
      <c r="J33" s="2"/>
      <c r="K33" s="167" t="s">
        <v>43</v>
      </c>
      <c r="L33" s="11">
        <v>260</v>
      </c>
      <c r="M33" s="12">
        <f t="shared" si="51"/>
        <v>289000</v>
      </c>
      <c r="N33" s="12">
        <f t="shared" si="41"/>
        <v>75140000</v>
      </c>
      <c r="O33" s="12">
        <f t="shared" si="46"/>
        <v>14276600</v>
      </c>
      <c r="P33" s="12">
        <f t="shared" si="47"/>
        <v>2629900.0000000005</v>
      </c>
      <c r="Q33" s="13">
        <f t="shared" si="48"/>
        <v>86786700</v>
      </c>
      <c r="R33" s="14">
        <f t="shared" si="49"/>
        <v>60750689.999999993</v>
      </c>
      <c r="S33" s="26">
        <f t="shared" si="50"/>
        <v>27037395.000000004</v>
      </c>
      <c r="T33" s="3"/>
      <c r="U33" s="2"/>
      <c r="V33" s="375"/>
      <c r="W33" s="16" t="str">
        <f t="shared" si="54"/>
        <v>MARZO</v>
      </c>
      <c r="X33" s="9">
        <f t="shared" si="55"/>
        <v>92348293.534545451</v>
      </c>
      <c r="Y33" s="17">
        <f t="shared" si="52"/>
        <v>58665274.304000005</v>
      </c>
      <c r="Z33" s="17">
        <f t="shared" si="17"/>
        <v>33683019.230545446</v>
      </c>
      <c r="AA33" s="27">
        <f>Z31+Z32</f>
        <v>64667493.043636359</v>
      </c>
      <c r="AB33" s="2"/>
      <c r="AC33" s="375"/>
      <c r="AD33" s="16" t="str">
        <f t="shared" si="18"/>
        <v>MARZO</v>
      </c>
      <c r="AE33" s="9">
        <f t="shared" si="56"/>
        <v>486043650.18181813</v>
      </c>
      <c r="AF33" s="17">
        <f t="shared" si="20"/>
        <v>92348293.534545451</v>
      </c>
      <c r="AG33" s="9">
        <f t="shared" si="57"/>
        <v>433793957.78727269</v>
      </c>
      <c r="AH33" s="9">
        <f t="shared" si="58"/>
        <v>148136493.87727273</v>
      </c>
      <c r="AI33" s="17">
        <f t="shared" si="23"/>
        <v>64667493.043636359</v>
      </c>
      <c r="AJ33" s="9">
        <f t="shared" si="59"/>
        <v>11238091.592000002</v>
      </c>
      <c r="AK33" s="9">
        <f t="shared" si="53"/>
        <v>249636180.39360002</v>
      </c>
      <c r="AL33" s="10">
        <f t="shared" si="60"/>
        <v>111257106.76080002</v>
      </c>
    </row>
    <row r="34" spans="1:38" ht="15.75" customHeight="1">
      <c r="A34" s="1"/>
      <c r="B34" s="159" t="s">
        <v>44</v>
      </c>
      <c r="C34" s="11">
        <v>240</v>
      </c>
      <c r="D34" s="12">
        <f t="shared" si="42"/>
        <v>525454.54545454541</v>
      </c>
      <c r="E34" s="12">
        <f t="shared" si="43"/>
        <v>126109090.90909091</v>
      </c>
      <c r="F34" s="12">
        <f t="shared" si="39"/>
        <v>23960727.272727273</v>
      </c>
      <c r="G34" s="12">
        <f t="shared" si="40"/>
        <v>150069818.18181819</v>
      </c>
      <c r="H34" s="12">
        <f t="shared" si="44"/>
        <v>112552363.63636364</v>
      </c>
      <c r="I34" s="12">
        <f t="shared" si="45"/>
        <v>40331263.636363633</v>
      </c>
      <c r="J34" s="2"/>
      <c r="K34" s="167" t="s">
        <v>44</v>
      </c>
      <c r="L34" s="11">
        <v>240</v>
      </c>
      <c r="M34" s="12">
        <f t="shared" si="51"/>
        <v>289000</v>
      </c>
      <c r="N34" s="12">
        <f t="shared" si="41"/>
        <v>69360000</v>
      </c>
      <c r="O34" s="12">
        <f t="shared" si="46"/>
        <v>13178400</v>
      </c>
      <c r="P34" s="12">
        <f t="shared" si="47"/>
        <v>2427600</v>
      </c>
      <c r="Q34" s="13">
        <f t="shared" si="48"/>
        <v>80110800</v>
      </c>
      <c r="R34" s="14">
        <f t="shared" si="49"/>
        <v>56077560</v>
      </c>
      <c r="S34" s="26">
        <f t="shared" si="50"/>
        <v>26036010.000000004</v>
      </c>
      <c r="T34" s="3"/>
      <c r="U34" s="2"/>
      <c r="V34" s="375"/>
      <c r="W34" s="16" t="str">
        <f t="shared" si="54"/>
        <v>ABRIL</v>
      </c>
      <c r="X34" s="9">
        <f t="shared" si="55"/>
        <v>94713908.639999986</v>
      </c>
      <c r="Y34" s="17">
        <f t="shared" si="52"/>
        <v>58380414.144000001</v>
      </c>
      <c r="Z34" s="17">
        <f t="shared" si="17"/>
        <v>36333494.495999984</v>
      </c>
      <c r="AA34" s="27"/>
      <c r="AB34" s="2"/>
      <c r="AC34" s="375"/>
      <c r="AD34" s="16" t="str">
        <f t="shared" si="18"/>
        <v>ABRIL</v>
      </c>
      <c r="AE34" s="9">
        <f t="shared" si="56"/>
        <v>498494256</v>
      </c>
      <c r="AF34" s="17">
        <f t="shared" si="20"/>
        <v>94713908.639999986</v>
      </c>
      <c r="AG34" s="9">
        <f t="shared" si="57"/>
        <v>444906123.47999996</v>
      </c>
      <c r="AH34" s="9">
        <f t="shared" si="58"/>
        <v>144597985.92909092</v>
      </c>
      <c r="AI34" s="17">
        <f t="shared" si="23"/>
        <v>0</v>
      </c>
      <c r="AJ34" s="9">
        <f t="shared" si="59"/>
        <v>10806761.056000002</v>
      </c>
      <c r="AK34" s="9">
        <f t="shared" si="53"/>
        <v>248424025.44960001</v>
      </c>
      <c r="AL34" s="10">
        <f t="shared" si="60"/>
        <v>106986934.45440003</v>
      </c>
    </row>
    <row r="35" spans="1:38" ht="15.75" customHeight="1">
      <c r="A35" s="1"/>
      <c r="B35" s="159" t="s">
        <v>45</v>
      </c>
      <c r="C35" s="11">
        <v>262</v>
      </c>
      <c r="D35" s="12">
        <f t="shared" si="42"/>
        <v>525454.54545454541</v>
      </c>
      <c r="E35" s="12">
        <f t="shared" si="43"/>
        <v>137669090.90909091</v>
      </c>
      <c r="F35" s="12">
        <f t="shared" si="39"/>
        <v>26157127.272727273</v>
      </c>
      <c r="G35" s="12">
        <f t="shared" si="40"/>
        <v>163826218.18181819</v>
      </c>
      <c r="H35" s="12">
        <f t="shared" si="44"/>
        <v>122869663.63636364</v>
      </c>
      <c r="I35" s="12">
        <f t="shared" si="45"/>
        <v>37517454.545454547</v>
      </c>
      <c r="J35" s="2"/>
      <c r="K35" s="167" t="s">
        <v>45</v>
      </c>
      <c r="L35" s="11">
        <v>260</v>
      </c>
      <c r="M35" s="12">
        <f t="shared" si="51"/>
        <v>289000</v>
      </c>
      <c r="N35" s="12">
        <f t="shared" si="41"/>
        <v>75140000</v>
      </c>
      <c r="O35" s="12">
        <f t="shared" si="46"/>
        <v>14276600</v>
      </c>
      <c r="P35" s="12">
        <f t="shared" si="47"/>
        <v>2629900.0000000005</v>
      </c>
      <c r="Q35" s="13">
        <f t="shared" si="48"/>
        <v>86786700</v>
      </c>
      <c r="R35" s="14">
        <f t="shared" si="49"/>
        <v>60750689.999999993</v>
      </c>
      <c r="S35" s="26">
        <f t="shared" si="50"/>
        <v>24033240.000000004</v>
      </c>
      <c r="T35" s="3"/>
      <c r="U35" s="2"/>
      <c r="V35" s="375"/>
      <c r="W35" s="16" t="str">
        <f t="shared" si="54"/>
        <v>MAYO</v>
      </c>
      <c r="X35" s="9">
        <f t="shared" si="55"/>
        <v>98460314.821818173</v>
      </c>
      <c r="Y35" s="17">
        <f t="shared" si="52"/>
        <v>64431388.527999997</v>
      </c>
      <c r="Z35" s="17">
        <f t="shared" si="17"/>
        <v>34028926.293818176</v>
      </c>
      <c r="AA35" s="27">
        <f>Z33+Z34</f>
        <v>70016513.726545423</v>
      </c>
      <c r="AB35" s="2"/>
      <c r="AC35" s="375"/>
      <c r="AD35" s="16" t="str">
        <f t="shared" si="18"/>
        <v>MAYO</v>
      </c>
      <c r="AE35" s="9">
        <f t="shared" si="56"/>
        <v>518212183.27272725</v>
      </c>
      <c r="AF35" s="17">
        <f t="shared" si="20"/>
        <v>98460314.821818173</v>
      </c>
      <c r="AG35" s="9">
        <f t="shared" si="57"/>
        <v>462504373.57090908</v>
      </c>
      <c r="AH35" s="9">
        <f t="shared" si="58"/>
        <v>148302041.16</v>
      </c>
      <c r="AI35" s="17">
        <f t="shared" si="23"/>
        <v>70016513.726545423</v>
      </c>
      <c r="AJ35" s="9">
        <f t="shared" si="59"/>
        <v>10754286.816000002</v>
      </c>
      <c r="AK35" s="9">
        <f t="shared" si="53"/>
        <v>274172513.81519997</v>
      </c>
      <c r="AL35" s="10">
        <f t="shared" si="60"/>
        <v>106467439.47840004</v>
      </c>
    </row>
    <row r="36" spans="1:38" ht="15.75" customHeight="1">
      <c r="A36" s="1"/>
      <c r="B36" s="159" t="s">
        <v>46</v>
      </c>
      <c r="C36" s="11">
        <v>250</v>
      </c>
      <c r="D36" s="12">
        <f t="shared" si="42"/>
        <v>525454.54545454541</v>
      </c>
      <c r="E36" s="12">
        <f t="shared" si="43"/>
        <v>131363636.36363636</v>
      </c>
      <c r="F36" s="12">
        <f t="shared" si="39"/>
        <v>24959090.90909091</v>
      </c>
      <c r="G36" s="12">
        <f t="shared" si="40"/>
        <v>156322727.27272728</v>
      </c>
      <c r="H36" s="12">
        <f t="shared" si="44"/>
        <v>117242045.45454547</v>
      </c>
      <c r="I36" s="12">
        <f t="shared" si="45"/>
        <v>40956554.545454547</v>
      </c>
      <c r="J36" s="2"/>
      <c r="K36" s="167" t="s">
        <v>46</v>
      </c>
      <c r="L36" s="11">
        <v>250</v>
      </c>
      <c r="M36" s="12">
        <f t="shared" si="51"/>
        <v>289000</v>
      </c>
      <c r="N36" s="12">
        <f t="shared" si="41"/>
        <v>72250000</v>
      </c>
      <c r="O36" s="12">
        <f t="shared" si="46"/>
        <v>13727500</v>
      </c>
      <c r="P36" s="12">
        <f t="shared" si="47"/>
        <v>2528750.0000000005</v>
      </c>
      <c r="Q36" s="13">
        <f t="shared" si="48"/>
        <v>83448750</v>
      </c>
      <c r="R36" s="14">
        <f t="shared" si="49"/>
        <v>58414125</v>
      </c>
      <c r="S36" s="26">
        <f t="shared" si="50"/>
        <v>26036010.000000004</v>
      </c>
      <c r="T36" s="3"/>
      <c r="U36" s="2"/>
      <c r="V36" s="375"/>
      <c r="W36" s="16" t="str">
        <f t="shared" si="54"/>
        <v>JUNIO</v>
      </c>
      <c r="X36" s="9">
        <f t="shared" si="55"/>
        <v>94854482.178181812</v>
      </c>
      <c r="Y36" s="17">
        <f t="shared" si="52"/>
        <v>61149213.008000001</v>
      </c>
      <c r="Z36" s="17">
        <f t="shared" si="17"/>
        <v>33705269.170181811</v>
      </c>
      <c r="AA36" s="27"/>
      <c r="AB36" s="2"/>
      <c r="AC36" s="375"/>
      <c r="AD36" s="16" t="str">
        <f t="shared" si="18"/>
        <v>JUNIO</v>
      </c>
      <c r="AE36" s="9">
        <f t="shared" si="56"/>
        <v>499234116.72727269</v>
      </c>
      <c r="AF36" s="17">
        <f t="shared" si="20"/>
        <v>94854482.178181812</v>
      </c>
      <c r="AG36" s="9">
        <f t="shared" si="57"/>
        <v>445566449.17909086</v>
      </c>
      <c r="AH36" s="9">
        <f t="shared" si="58"/>
        <v>154168124.52363634</v>
      </c>
      <c r="AI36" s="17">
        <f t="shared" si="23"/>
        <v>0</v>
      </c>
      <c r="AJ36" s="9">
        <f t="shared" si="59"/>
        <v>11868939.992000001</v>
      </c>
      <c r="AK36" s="9">
        <f t="shared" si="53"/>
        <v>260205993.24719998</v>
      </c>
      <c r="AL36" s="10">
        <f t="shared" si="60"/>
        <v>117502505.9208</v>
      </c>
    </row>
    <row r="37" spans="1:38" ht="15.75" customHeight="1">
      <c r="A37" s="1"/>
      <c r="B37" s="160" t="s">
        <v>47</v>
      </c>
      <c r="C37" s="11">
        <v>290</v>
      </c>
      <c r="D37" s="12">
        <f t="shared" si="42"/>
        <v>525454.54545454541</v>
      </c>
      <c r="E37" s="12">
        <f t="shared" si="43"/>
        <v>152381818.18181816</v>
      </c>
      <c r="F37" s="12">
        <f t="shared" si="39"/>
        <v>28952545.454545449</v>
      </c>
      <c r="G37" s="12">
        <f t="shared" si="40"/>
        <v>181334363.6363636</v>
      </c>
      <c r="H37" s="12">
        <f t="shared" si="44"/>
        <v>136000772.72727269</v>
      </c>
      <c r="I37" s="12">
        <f t="shared" si="45"/>
        <v>39080681.81818182</v>
      </c>
      <c r="J37" s="2"/>
      <c r="K37" s="167" t="s">
        <v>47</v>
      </c>
      <c r="L37" s="11">
        <v>290</v>
      </c>
      <c r="M37" s="12">
        <f t="shared" si="51"/>
        <v>289000</v>
      </c>
      <c r="N37" s="12">
        <f t="shared" si="41"/>
        <v>83810000</v>
      </c>
      <c r="O37" s="12">
        <f t="shared" si="46"/>
        <v>15923900</v>
      </c>
      <c r="P37" s="12">
        <f t="shared" si="47"/>
        <v>2933350.0000000005</v>
      </c>
      <c r="Q37" s="13">
        <f t="shared" si="48"/>
        <v>96800550</v>
      </c>
      <c r="R37" s="14">
        <f t="shared" si="49"/>
        <v>67760385</v>
      </c>
      <c r="S37" s="26">
        <f t="shared" si="50"/>
        <v>25034625.000000004</v>
      </c>
      <c r="T37" s="3"/>
      <c r="U37" s="2"/>
      <c r="V37" s="375"/>
      <c r="W37" s="16" t="str">
        <f t="shared" si="54"/>
        <v>JULIO</v>
      </c>
      <c r="X37" s="9">
        <f t="shared" si="55"/>
        <v>98544668.465454534</v>
      </c>
      <c r="Y37" s="17">
        <f t="shared" si="52"/>
        <v>61815073.631999999</v>
      </c>
      <c r="Z37" s="17">
        <f t="shared" si="17"/>
        <v>36729594.833454534</v>
      </c>
      <c r="AA37" s="27">
        <f>Z35+Z36</f>
        <v>67734195.463999987</v>
      </c>
      <c r="AB37" s="2"/>
      <c r="AC37" s="375"/>
      <c r="AD37" s="16" t="str">
        <f t="shared" si="18"/>
        <v>JULIO</v>
      </c>
      <c r="AE37" s="9">
        <f t="shared" si="56"/>
        <v>518656149.81818175</v>
      </c>
      <c r="AF37" s="17">
        <f t="shared" si="20"/>
        <v>98544668.465454534</v>
      </c>
      <c r="AG37" s="9">
        <f t="shared" si="57"/>
        <v>462900613.71272725</v>
      </c>
      <c r="AH37" s="9">
        <f t="shared" si="58"/>
        <v>148522149.72636363</v>
      </c>
      <c r="AI37" s="17">
        <f t="shared" si="23"/>
        <v>67734195.463999987</v>
      </c>
      <c r="AJ37" s="9">
        <f t="shared" si="59"/>
        <v>11264328.712000001</v>
      </c>
      <c r="AK37" s="9">
        <f t="shared" si="53"/>
        <v>263039405.42879999</v>
      </c>
      <c r="AL37" s="10">
        <f t="shared" si="60"/>
        <v>111516854.24880002</v>
      </c>
    </row>
    <row r="38" spans="1:38" ht="15.75" customHeight="1">
      <c r="A38" s="1"/>
      <c r="B38" s="35"/>
      <c r="C38" s="36"/>
      <c r="D38" s="37"/>
      <c r="E38" s="37"/>
      <c r="F38" s="2"/>
      <c r="G38" s="37"/>
      <c r="H38" s="2"/>
      <c r="I38" s="12">
        <f t="shared" si="45"/>
        <v>45333590.909090899</v>
      </c>
      <c r="J38" s="2"/>
      <c r="K38" s="167" t="s">
        <v>36</v>
      </c>
      <c r="L38" s="11"/>
      <c r="M38" s="12"/>
      <c r="N38" s="12"/>
      <c r="O38" s="12"/>
      <c r="P38" s="12"/>
      <c r="Q38" s="38"/>
      <c r="R38" s="39"/>
      <c r="S38" s="26">
        <f t="shared" si="50"/>
        <v>29040165.000000004</v>
      </c>
      <c r="T38" s="3"/>
      <c r="U38" s="2"/>
      <c r="V38" s="375"/>
      <c r="W38" s="16" t="str">
        <f t="shared" si="54"/>
        <v>AGOSTO</v>
      </c>
      <c r="X38" s="9">
        <f t="shared" si="55"/>
        <v>97197771.178181812</v>
      </c>
      <c r="Y38" s="17">
        <f t="shared" si="52"/>
        <v>62110616.048</v>
      </c>
      <c r="Z38" s="17">
        <f t="shared" si="17"/>
        <v>35087155.130181812</v>
      </c>
      <c r="AA38" s="27"/>
      <c r="AB38" s="2"/>
      <c r="AC38" s="375"/>
      <c r="AD38" s="16" t="str">
        <f t="shared" si="18"/>
        <v>AGOSTO</v>
      </c>
      <c r="AE38" s="9">
        <f t="shared" si="56"/>
        <v>511567216.72727269</v>
      </c>
      <c r="AF38" s="17">
        <f t="shared" si="20"/>
        <v>97197771.178181812</v>
      </c>
      <c r="AG38" s="9">
        <f t="shared" si="57"/>
        <v>456573740.92909086</v>
      </c>
      <c r="AH38" s="9">
        <f t="shared" si="58"/>
        <v>154300204.57090908</v>
      </c>
      <c r="AI38" s="17">
        <f t="shared" si="23"/>
        <v>0</v>
      </c>
      <c r="AJ38" s="9">
        <f t="shared" si="59"/>
        <v>11386987.248000003</v>
      </c>
      <c r="AK38" s="9">
        <f t="shared" si="53"/>
        <v>264297016.18319997</v>
      </c>
      <c r="AL38" s="10">
        <f t="shared" si="60"/>
        <v>112731173.75520001</v>
      </c>
    </row>
    <row r="39" spans="1:38" ht="15.75" customHeight="1">
      <c r="A39" s="1"/>
      <c r="B39" s="35"/>
      <c r="C39" s="2"/>
      <c r="D39" s="37"/>
      <c r="E39" s="37"/>
      <c r="F39" s="2"/>
      <c r="G39" s="37"/>
      <c r="H39" s="2"/>
      <c r="J39" s="2"/>
      <c r="K39" s="167" t="s">
        <v>37</v>
      </c>
      <c r="L39" s="11"/>
      <c r="M39" s="12"/>
      <c r="N39" s="12"/>
      <c r="O39" s="12"/>
      <c r="P39" s="12"/>
      <c r="Q39" s="38"/>
      <c r="R39" s="39"/>
      <c r="T39" s="3"/>
      <c r="U39" s="2"/>
      <c r="V39" s="375"/>
      <c r="W39" s="16" t="str">
        <f t="shared" si="54"/>
        <v>SEPTIEMBRE</v>
      </c>
      <c r="X39" s="9">
        <f t="shared" si="55"/>
        <v>92750258.639999986</v>
      </c>
      <c r="Y39" s="17">
        <f t="shared" si="52"/>
        <v>61375634.944000006</v>
      </c>
      <c r="Z39" s="17">
        <f t="shared" si="17"/>
        <v>31374623.69599998</v>
      </c>
      <c r="AA39" s="27">
        <f>Z37+Z38</f>
        <v>71816749.963636339</v>
      </c>
      <c r="AB39" s="2"/>
      <c r="AC39" s="375"/>
      <c r="AD39" s="16" t="str">
        <f t="shared" si="18"/>
        <v>SEPTIEMBRE</v>
      </c>
      <c r="AE39" s="9">
        <f t="shared" si="56"/>
        <v>488159256</v>
      </c>
      <c r="AF39" s="17">
        <f t="shared" si="20"/>
        <v>92750258.639999986</v>
      </c>
      <c r="AG39" s="9">
        <f t="shared" si="57"/>
        <v>435682135.97999996</v>
      </c>
      <c r="AH39" s="9">
        <f t="shared" si="58"/>
        <v>152191246.97636363</v>
      </c>
      <c r="AI39" s="17">
        <f t="shared" si="23"/>
        <v>71816749.963636339</v>
      </c>
      <c r="AJ39" s="9">
        <f t="shared" si="59"/>
        <v>11441429.272</v>
      </c>
      <c r="AK39" s="9">
        <f t="shared" si="53"/>
        <v>261169478.16959998</v>
      </c>
      <c r="AL39" s="10">
        <f t="shared" si="60"/>
        <v>113270149.79280002</v>
      </c>
    </row>
    <row r="40" spans="1:38" ht="15.75" customHeight="1">
      <c r="A40" s="1"/>
      <c r="B40" s="35"/>
      <c r="C40" s="2"/>
      <c r="D40" s="37"/>
      <c r="E40" s="37"/>
      <c r="F40" s="2"/>
      <c r="G40" s="37"/>
      <c r="H40" s="2"/>
      <c r="I40" s="37"/>
      <c r="J40" s="2"/>
      <c r="K40" s="35"/>
      <c r="M40" s="37"/>
      <c r="N40" s="37"/>
      <c r="O40" s="37"/>
      <c r="P40" s="37"/>
      <c r="Q40" s="36"/>
      <c r="R40" s="2"/>
      <c r="S40" s="37"/>
      <c r="T40" s="3"/>
      <c r="U40" s="2"/>
      <c r="V40" s="375"/>
      <c r="W40" s="16" t="str">
        <f t="shared" si="54"/>
        <v>OCTUBRE</v>
      </c>
      <c r="X40" s="9">
        <f t="shared" si="55"/>
        <v>97022732.607272714</v>
      </c>
      <c r="Y40" s="17">
        <f t="shared" si="52"/>
        <v>61469680.688000001</v>
      </c>
      <c r="Z40" s="17">
        <f t="shared" si="17"/>
        <v>35553051.919272713</v>
      </c>
      <c r="AA40" s="27"/>
      <c r="AB40" s="2"/>
      <c r="AC40" s="375"/>
      <c r="AD40" s="16" t="str">
        <f t="shared" si="18"/>
        <v>OCTUBRE</v>
      </c>
      <c r="AE40" s="9">
        <f t="shared" si="56"/>
        <v>510645961.09090906</v>
      </c>
      <c r="AF40" s="17">
        <f t="shared" si="20"/>
        <v>97022732.607272714</v>
      </c>
      <c r="AG40" s="9">
        <f t="shared" si="57"/>
        <v>455751520.27363634</v>
      </c>
      <c r="AH40" s="9">
        <f t="shared" si="58"/>
        <v>145227378.66</v>
      </c>
      <c r="AI40" s="17">
        <f t="shared" si="23"/>
        <v>0</v>
      </c>
      <c r="AJ40" s="9">
        <f t="shared" si="59"/>
        <v>11306038.016000003</v>
      </c>
      <c r="AK40" s="9">
        <f t="shared" si="53"/>
        <v>261569667.55919996</v>
      </c>
      <c r="AL40" s="10">
        <f t="shared" si="60"/>
        <v>111929776.35840003</v>
      </c>
    </row>
    <row r="41" spans="1:38" ht="15.75" customHeight="1" thickBot="1">
      <c r="A41" s="1"/>
      <c r="B41" s="361" t="s">
        <v>1</v>
      </c>
      <c r="C41" s="362"/>
      <c r="D41" s="362"/>
      <c r="E41" s="362"/>
      <c r="F41" s="362"/>
      <c r="G41" s="362"/>
      <c r="H41" s="362"/>
      <c r="I41" s="363"/>
      <c r="J41" s="5"/>
      <c r="K41" s="364" t="s">
        <v>2</v>
      </c>
      <c r="L41" s="365"/>
      <c r="M41" s="365"/>
      <c r="N41" s="365"/>
      <c r="O41" s="365"/>
      <c r="P41" s="365"/>
      <c r="Q41" s="365"/>
      <c r="R41" s="365"/>
      <c r="S41" s="366"/>
      <c r="T41" s="3"/>
      <c r="U41" s="2"/>
      <c r="V41" s="375"/>
      <c r="W41" s="16" t="str">
        <f t="shared" si="54"/>
        <v>NOVIEMBRE</v>
      </c>
      <c r="X41" s="9">
        <f t="shared" si="55"/>
        <v>96552932.319999993</v>
      </c>
      <c r="Y41" s="17">
        <f t="shared" si="52"/>
        <v>60483352.384000003</v>
      </c>
      <c r="Z41" s="17">
        <f t="shared" si="17"/>
        <v>36069579.93599999</v>
      </c>
      <c r="AA41" s="27">
        <f>Z39+Z40</f>
        <v>66927675.615272693</v>
      </c>
      <c r="AB41" s="2"/>
      <c r="AC41" s="375"/>
      <c r="AD41" s="16" t="str">
        <f t="shared" si="18"/>
        <v>NOVIEMBRE</v>
      </c>
      <c r="AE41" s="9">
        <f t="shared" si="56"/>
        <v>508173328</v>
      </c>
      <c r="AF41" s="17">
        <f t="shared" si="20"/>
        <v>96552932.319999993</v>
      </c>
      <c r="AG41" s="9">
        <f t="shared" si="57"/>
        <v>453544695.24000001</v>
      </c>
      <c r="AH41" s="47">
        <f t="shared" si="58"/>
        <v>151917173.42454544</v>
      </c>
      <c r="AI41" s="17">
        <f t="shared" si="23"/>
        <v>66927675.615272693</v>
      </c>
      <c r="AJ41" s="9">
        <f t="shared" si="59"/>
        <v>11323362.232000001</v>
      </c>
      <c r="AK41" s="9">
        <f t="shared" si="53"/>
        <v>257372581.06559998</v>
      </c>
      <c r="AL41" s="49">
        <f t="shared" si="60"/>
        <v>112101286.09680001</v>
      </c>
    </row>
    <row r="42" spans="1:38" ht="15.75" customHeight="1" thickBot="1">
      <c r="A42" s="1"/>
      <c r="B42" s="361" t="s">
        <v>54</v>
      </c>
      <c r="C42" s="362"/>
      <c r="D42" s="362"/>
      <c r="E42" s="362"/>
      <c r="F42" s="362"/>
      <c r="G42" s="362"/>
      <c r="H42" s="362"/>
      <c r="I42" s="363"/>
      <c r="J42" s="5"/>
      <c r="K42" s="364" t="str">
        <f>B42</f>
        <v xml:space="preserve">BICLICLETA EXPLORER </v>
      </c>
      <c r="L42" s="365"/>
      <c r="M42" s="365"/>
      <c r="N42" s="365"/>
      <c r="O42" s="365"/>
      <c r="P42" s="365"/>
      <c r="Q42" s="365"/>
      <c r="R42" s="365"/>
      <c r="S42" s="366"/>
      <c r="T42" s="3"/>
      <c r="U42" s="2"/>
      <c r="V42" s="372"/>
      <c r="W42" s="32" t="str">
        <f t="shared" si="54"/>
        <v>DICIEMBRE</v>
      </c>
      <c r="X42" s="47">
        <f t="shared" si="55"/>
        <v>103544906.82545453</v>
      </c>
      <c r="Y42" s="33">
        <f t="shared" si="52"/>
        <v>66285911.952000007</v>
      </c>
      <c r="Z42" s="33">
        <f t="shared" si="17"/>
        <v>37258994.873454526</v>
      </c>
      <c r="AA42" s="48"/>
      <c r="AC42" s="372"/>
      <c r="AD42" s="32" t="str">
        <f t="shared" si="18"/>
        <v>DICIEMBRE</v>
      </c>
      <c r="AE42" s="47">
        <f t="shared" si="56"/>
        <v>544973193.81818175</v>
      </c>
      <c r="AF42" s="33">
        <f t="shared" si="20"/>
        <v>103544906.82545453</v>
      </c>
      <c r="AG42" s="47">
        <f t="shared" si="57"/>
        <v>486388575.48272723</v>
      </c>
      <c r="AH42" s="45">
        <f t="shared" si="58"/>
        <v>151181565.07999998</v>
      </c>
      <c r="AI42" s="33">
        <f t="shared" si="23"/>
        <v>0</v>
      </c>
      <c r="AJ42" s="47">
        <f t="shared" si="59"/>
        <v>11141670.176000003</v>
      </c>
      <c r="AK42" s="47">
        <f t="shared" si="53"/>
        <v>282063999.01679999</v>
      </c>
      <c r="AL42" s="51">
        <f t="shared" si="60"/>
        <v>110302534.74240002</v>
      </c>
    </row>
    <row r="43" spans="1:38" ht="15.75" customHeight="1" thickBot="1">
      <c r="A43" s="1"/>
      <c r="B43" s="367" t="s">
        <v>11</v>
      </c>
      <c r="C43" s="367" t="s">
        <v>24</v>
      </c>
      <c r="D43" s="367" t="s">
        <v>25</v>
      </c>
      <c r="E43" s="367" t="s">
        <v>26</v>
      </c>
      <c r="F43" s="161" t="s">
        <v>17</v>
      </c>
      <c r="G43" s="367" t="s">
        <v>27</v>
      </c>
      <c r="H43" s="161" t="s">
        <v>28</v>
      </c>
      <c r="I43" s="161" t="s">
        <v>29</v>
      </c>
      <c r="J43" s="5"/>
      <c r="K43" s="356" t="s">
        <v>11</v>
      </c>
      <c r="L43" s="356" t="s">
        <v>24</v>
      </c>
      <c r="M43" s="356" t="s">
        <v>30</v>
      </c>
      <c r="N43" s="356" t="s">
        <v>31</v>
      </c>
      <c r="O43" s="163" t="s">
        <v>17</v>
      </c>
      <c r="P43" s="163" t="s">
        <v>32</v>
      </c>
      <c r="Q43" s="356" t="s">
        <v>33</v>
      </c>
      <c r="R43" s="163" t="s">
        <v>34</v>
      </c>
      <c r="S43" s="163" t="s">
        <v>35</v>
      </c>
      <c r="T43" s="6"/>
      <c r="U43" s="5"/>
      <c r="V43" s="371">
        <v>2024</v>
      </c>
      <c r="W43" s="19" t="str">
        <f t="shared" si="54"/>
        <v>ENERO</v>
      </c>
      <c r="X43" s="50"/>
      <c r="Y43" s="50"/>
      <c r="Z43" s="50"/>
      <c r="AA43" s="41">
        <f>Z41+Z42</f>
        <v>73328574.809454516</v>
      </c>
      <c r="AC43" s="371">
        <v>2024</v>
      </c>
      <c r="AD43" s="19" t="str">
        <f t="shared" si="18"/>
        <v>ENERO</v>
      </c>
      <c r="AE43" s="22"/>
      <c r="AF43" s="22"/>
      <c r="AG43" s="22"/>
      <c r="AH43" s="47">
        <f t="shared" si="58"/>
        <v>162129525.16090909</v>
      </c>
      <c r="AI43" s="20">
        <f t="shared" si="23"/>
        <v>73328574.809454516</v>
      </c>
      <c r="AJ43" s="45">
        <f t="shared" si="59"/>
        <v>12210562.728000002</v>
      </c>
      <c r="AK43" s="22"/>
      <c r="AL43" s="49">
        <f t="shared" si="60"/>
        <v>120884571.00720002</v>
      </c>
    </row>
    <row r="44" spans="1:38" ht="15.75" customHeight="1" thickBot="1">
      <c r="A44" s="1"/>
      <c r="B44" s="368"/>
      <c r="C44" s="368"/>
      <c r="D44" s="368"/>
      <c r="E44" s="368"/>
      <c r="F44" s="162">
        <v>0.19</v>
      </c>
      <c r="G44" s="368"/>
      <c r="H44" s="162">
        <v>0.75</v>
      </c>
      <c r="I44" s="162">
        <f>100%-H44</f>
        <v>0.25</v>
      </c>
      <c r="J44" s="5"/>
      <c r="K44" s="357"/>
      <c r="L44" s="357"/>
      <c r="M44" s="357"/>
      <c r="N44" s="357"/>
      <c r="O44" s="164">
        <v>0.19</v>
      </c>
      <c r="P44" s="165">
        <v>3.5000000000000003E-2</v>
      </c>
      <c r="Q44" s="357"/>
      <c r="R44" s="166">
        <v>0.7</v>
      </c>
      <c r="S44" s="164">
        <f>1-R44</f>
        <v>0.30000000000000004</v>
      </c>
      <c r="T44" s="6"/>
      <c r="U44" s="5"/>
      <c r="V44" s="372"/>
      <c r="W44" s="32" t="str">
        <f t="shared" si="54"/>
        <v>FEBRERO</v>
      </c>
      <c r="X44" s="52"/>
      <c r="Y44" s="52"/>
      <c r="Z44" s="53"/>
      <c r="AA44" s="54"/>
      <c r="AC44" s="372"/>
      <c r="AD44" s="32" t="str">
        <f t="shared" si="18"/>
        <v>FEBRERO</v>
      </c>
      <c r="AE44" s="55"/>
      <c r="AF44" s="55"/>
      <c r="AG44" s="55"/>
      <c r="AI44" s="33">
        <f t="shared" si="23"/>
        <v>0</v>
      </c>
      <c r="AJ44" s="55"/>
      <c r="AK44" s="55"/>
    </row>
    <row r="45" spans="1:38" ht="15.75" customHeight="1">
      <c r="A45" s="1"/>
      <c r="B45" s="159" t="s">
        <v>36</v>
      </c>
      <c r="C45" s="11">
        <v>90</v>
      </c>
      <c r="D45" s="12">
        <f>M45/(1-28%)</f>
        <v>1062500</v>
      </c>
      <c r="E45" s="12">
        <f>C45*D45</f>
        <v>95625000</v>
      </c>
      <c r="F45" s="12">
        <f>E45*$F$44</f>
        <v>18168750</v>
      </c>
      <c r="G45" s="12">
        <f t="shared" ref="G45:G56" si="61">E45+F45</f>
        <v>113793750</v>
      </c>
      <c r="H45" s="12">
        <f>G45*$H$6</f>
        <v>85345312.5</v>
      </c>
      <c r="I45" s="12"/>
      <c r="J45" s="2"/>
      <c r="K45" s="167" t="s">
        <v>36</v>
      </c>
      <c r="L45" s="11">
        <v>94</v>
      </c>
      <c r="M45" s="12">
        <v>765000</v>
      </c>
      <c r="N45" s="12">
        <f t="shared" ref="N45:N56" si="62">L45*M45</f>
        <v>71910000</v>
      </c>
      <c r="O45" s="12">
        <f>N45*$O$6</f>
        <v>13662900</v>
      </c>
      <c r="P45" s="12">
        <f>N45*$P$6</f>
        <v>2516850.0000000005</v>
      </c>
      <c r="Q45" s="13">
        <f>N45+O45-P45</f>
        <v>83056050</v>
      </c>
      <c r="R45" s="14">
        <f>Q45*$R$6</f>
        <v>58139235</v>
      </c>
      <c r="S45" s="15"/>
      <c r="T45" s="6"/>
      <c r="U45" s="5"/>
      <c r="V45" s="5"/>
      <c r="W45" s="5"/>
      <c r="X45" s="56"/>
      <c r="Y45" s="56"/>
      <c r="Z45" s="57"/>
      <c r="AA45" s="56"/>
      <c r="AC45" s="58"/>
      <c r="AD45" s="2"/>
      <c r="AH45" s="59"/>
    </row>
    <row r="46" spans="1:38" ht="15.75" customHeight="1">
      <c r="A46" s="1"/>
      <c r="B46" s="159" t="s">
        <v>37</v>
      </c>
      <c r="C46" s="11">
        <v>87</v>
      </c>
      <c r="D46" s="12">
        <f t="shared" ref="D46:D56" si="63">M46/(1-28%)</f>
        <v>1062500</v>
      </c>
      <c r="E46" s="12">
        <f t="shared" ref="E46:E56" si="64">C46*D46</f>
        <v>92437500</v>
      </c>
      <c r="F46" s="12">
        <f t="shared" ref="F46:F56" si="65">E46*$F$44</f>
        <v>17563125</v>
      </c>
      <c r="G46" s="12">
        <f t="shared" si="61"/>
        <v>110000625</v>
      </c>
      <c r="H46" s="12">
        <f t="shared" ref="H46:H56" si="66">G46*$H$6</f>
        <v>82500468.75</v>
      </c>
      <c r="I46" s="12">
        <f t="shared" ref="I46:I57" si="67">G45*$I$6</f>
        <v>28448437.5</v>
      </c>
      <c r="J46" s="2"/>
      <c r="K46" s="167" t="s">
        <v>37</v>
      </c>
      <c r="L46" s="11">
        <v>91</v>
      </c>
      <c r="M46" s="12">
        <f>M45</f>
        <v>765000</v>
      </c>
      <c r="N46" s="12">
        <f t="shared" si="62"/>
        <v>69615000</v>
      </c>
      <c r="O46" s="12">
        <f t="shared" ref="O46:O56" si="68">N46*$O$6</f>
        <v>13226850</v>
      </c>
      <c r="P46" s="12">
        <f t="shared" ref="P46:P56" si="69">N46*$P$6</f>
        <v>2436525</v>
      </c>
      <c r="Q46" s="13">
        <f t="shared" ref="Q46:Q56" si="70">N46+O46-P46</f>
        <v>80405325</v>
      </c>
      <c r="R46" s="14">
        <f t="shared" ref="R46:R56" si="71">Q46*$R$6</f>
        <v>56283727.5</v>
      </c>
      <c r="S46" s="26">
        <f t="shared" ref="S46:S57" si="72">Q45*$S$6</f>
        <v>24916815.000000004</v>
      </c>
      <c r="T46" s="6"/>
      <c r="U46" s="5"/>
      <c r="V46" s="5"/>
      <c r="W46" s="5"/>
      <c r="X46" s="56"/>
      <c r="Y46" s="56"/>
      <c r="Z46" s="57"/>
      <c r="AA46" s="56"/>
      <c r="AC46" s="58"/>
      <c r="AD46" s="2"/>
    </row>
    <row r="47" spans="1:38" ht="15.75" customHeight="1">
      <c r="A47" s="1"/>
      <c r="B47" s="159" t="s">
        <v>38</v>
      </c>
      <c r="C47" s="11">
        <v>92</v>
      </c>
      <c r="D47" s="12">
        <f t="shared" si="63"/>
        <v>1062500</v>
      </c>
      <c r="E47" s="12">
        <f t="shared" si="64"/>
        <v>97750000</v>
      </c>
      <c r="F47" s="12">
        <f t="shared" si="65"/>
        <v>18572500</v>
      </c>
      <c r="G47" s="12">
        <f t="shared" si="61"/>
        <v>116322500</v>
      </c>
      <c r="H47" s="12">
        <f t="shared" si="66"/>
        <v>87241875</v>
      </c>
      <c r="I47" s="12">
        <f t="shared" si="67"/>
        <v>27500156.25</v>
      </c>
      <c r="J47" s="2"/>
      <c r="K47" s="167" t="s">
        <v>38</v>
      </c>
      <c r="L47" s="11">
        <v>88</v>
      </c>
      <c r="M47" s="12">
        <f t="shared" ref="M47:M56" si="73">M46</f>
        <v>765000</v>
      </c>
      <c r="N47" s="12">
        <f t="shared" si="62"/>
        <v>67320000</v>
      </c>
      <c r="O47" s="12">
        <f t="shared" si="68"/>
        <v>12790800</v>
      </c>
      <c r="P47" s="12">
        <f t="shared" si="69"/>
        <v>2356200</v>
      </c>
      <c r="Q47" s="13">
        <f t="shared" si="70"/>
        <v>77754600</v>
      </c>
      <c r="R47" s="14">
        <f t="shared" si="71"/>
        <v>54428220</v>
      </c>
      <c r="S47" s="26">
        <f t="shared" si="72"/>
        <v>24121597.500000004</v>
      </c>
      <c r="T47" s="3"/>
      <c r="U47" s="2"/>
      <c r="V47" s="2"/>
      <c r="W47" s="35"/>
      <c r="X47" s="37"/>
      <c r="Y47" s="37"/>
      <c r="Z47" s="37"/>
      <c r="AA47" s="36"/>
      <c r="AC47" s="58"/>
      <c r="AD47" s="2"/>
    </row>
    <row r="48" spans="1:38" ht="15.75" customHeight="1">
      <c r="A48" s="1"/>
      <c r="B48" s="159" t="s">
        <v>39</v>
      </c>
      <c r="C48" s="11">
        <v>94</v>
      </c>
      <c r="D48" s="12">
        <f t="shared" si="63"/>
        <v>1062500</v>
      </c>
      <c r="E48" s="12">
        <f t="shared" si="64"/>
        <v>99875000</v>
      </c>
      <c r="F48" s="12">
        <f t="shared" si="65"/>
        <v>18976250</v>
      </c>
      <c r="G48" s="12">
        <f t="shared" si="61"/>
        <v>118851250</v>
      </c>
      <c r="H48" s="12">
        <f t="shared" si="66"/>
        <v>89138437.5</v>
      </c>
      <c r="I48" s="12">
        <f t="shared" si="67"/>
        <v>29080625</v>
      </c>
      <c r="J48" s="2"/>
      <c r="K48" s="167" t="s">
        <v>39</v>
      </c>
      <c r="L48" s="11">
        <v>90</v>
      </c>
      <c r="M48" s="12">
        <f t="shared" si="73"/>
        <v>765000</v>
      </c>
      <c r="N48" s="12">
        <f t="shared" si="62"/>
        <v>68850000</v>
      </c>
      <c r="O48" s="12">
        <f t="shared" si="68"/>
        <v>13081500</v>
      </c>
      <c r="P48" s="12">
        <f t="shared" si="69"/>
        <v>2409750</v>
      </c>
      <c r="Q48" s="13">
        <f t="shared" si="70"/>
        <v>79521750</v>
      </c>
      <c r="R48" s="14">
        <f t="shared" si="71"/>
        <v>55665225</v>
      </c>
      <c r="S48" s="26">
        <f t="shared" si="72"/>
        <v>23326380.000000004</v>
      </c>
      <c r="T48" s="3"/>
      <c r="U48" s="2"/>
      <c r="V48" s="2"/>
      <c r="W48" s="35"/>
      <c r="X48" s="37"/>
      <c r="Y48" s="37"/>
      <c r="Z48" s="37"/>
      <c r="AA48" s="36"/>
      <c r="AC48" s="58"/>
      <c r="AD48" s="2"/>
    </row>
    <row r="49" spans="1:30" ht="15.75" customHeight="1">
      <c r="A49" s="1"/>
      <c r="B49" s="159" t="s">
        <v>40</v>
      </c>
      <c r="C49" s="11">
        <v>90</v>
      </c>
      <c r="D49" s="12">
        <f t="shared" si="63"/>
        <v>1062500</v>
      </c>
      <c r="E49" s="12">
        <f t="shared" si="64"/>
        <v>95625000</v>
      </c>
      <c r="F49" s="12">
        <f t="shared" si="65"/>
        <v>18168750</v>
      </c>
      <c r="G49" s="12">
        <f t="shared" si="61"/>
        <v>113793750</v>
      </c>
      <c r="H49" s="12">
        <f t="shared" si="66"/>
        <v>85345312.5</v>
      </c>
      <c r="I49" s="12">
        <f t="shared" si="67"/>
        <v>29712812.5</v>
      </c>
      <c r="J49" s="2"/>
      <c r="K49" s="167" t="s">
        <v>40</v>
      </c>
      <c r="L49" s="11">
        <v>95</v>
      </c>
      <c r="M49" s="12">
        <f t="shared" si="73"/>
        <v>765000</v>
      </c>
      <c r="N49" s="12">
        <f t="shared" si="62"/>
        <v>72675000</v>
      </c>
      <c r="O49" s="12">
        <f t="shared" si="68"/>
        <v>13808250</v>
      </c>
      <c r="P49" s="12">
        <f t="shared" si="69"/>
        <v>2543625.0000000005</v>
      </c>
      <c r="Q49" s="13">
        <f t="shared" si="70"/>
        <v>83939625</v>
      </c>
      <c r="R49" s="14">
        <f t="shared" si="71"/>
        <v>58757737.499999993</v>
      </c>
      <c r="S49" s="26">
        <f t="shared" si="72"/>
        <v>23856525.000000004</v>
      </c>
      <c r="T49" s="3"/>
      <c r="U49" s="2"/>
      <c r="V49" s="2"/>
      <c r="W49" s="35"/>
      <c r="X49" s="37"/>
      <c r="Y49" s="37"/>
      <c r="Z49" s="37"/>
      <c r="AA49" s="37"/>
      <c r="AC49" s="58"/>
      <c r="AD49" s="2"/>
    </row>
    <row r="50" spans="1:30" ht="15.75" customHeight="1">
      <c r="A50" s="1"/>
      <c r="B50" s="159" t="s">
        <v>41</v>
      </c>
      <c r="C50" s="11">
        <v>89</v>
      </c>
      <c r="D50" s="12">
        <f t="shared" si="63"/>
        <v>1062500</v>
      </c>
      <c r="E50" s="12">
        <f t="shared" si="64"/>
        <v>94562500</v>
      </c>
      <c r="F50" s="12">
        <f t="shared" si="65"/>
        <v>17966875</v>
      </c>
      <c r="G50" s="12">
        <f t="shared" si="61"/>
        <v>112529375</v>
      </c>
      <c r="H50" s="12">
        <f t="shared" si="66"/>
        <v>84397031.25</v>
      </c>
      <c r="I50" s="12">
        <f t="shared" si="67"/>
        <v>28448437.5</v>
      </c>
      <c r="J50" s="2"/>
      <c r="K50" s="167" t="s">
        <v>41</v>
      </c>
      <c r="L50" s="11">
        <v>90</v>
      </c>
      <c r="M50" s="12">
        <f t="shared" si="73"/>
        <v>765000</v>
      </c>
      <c r="N50" s="12">
        <f t="shared" si="62"/>
        <v>68850000</v>
      </c>
      <c r="O50" s="12">
        <f t="shared" si="68"/>
        <v>13081500</v>
      </c>
      <c r="P50" s="12">
        <f t="shared" si="69"/>
        <v>2409750</v>
      </c>
      <c r="Q50" s="13">
        <f t="shared" si="70"/>
        <v>79521750</v>
      </c>
      <c r="R50" s="14">
        <f t="shared" si="71"/>
        <v>55665225</v>
      </c>
      <c r="S50" s="26">
        <f t="shared" si="72"/>
        <v>25181887.500000004</v>
      </c>
      <c r="T50" s="3"/>
      <c r="U50" s="2"/>
      <c r="V50" s="2"/>
      <c r="W50" s="35"/>
      <c r="X50" s="37"/>
      <c r="Y50" s="37"/>
      <c r="Z50" s="37"/>
      <c r="AA50" s="36"/>
      <c r="AC50" s="58"/>
      <c r="AD50" s="2"/>
    </row>
    <row r="51" spans="1:30" ht="15.75" customHeight="1">
      <c r="A51" s="1"/>
      <c r="B51" s="159" t="s">
        <v>42</v>
      </c>
      <c r="C51" s="11">
        <v>94</v>
      </c>
      <c r="D51" s="12">
        <f t="shared" si="63"/>
        <v>1062500</v>
      </c>
      <c r="E51" s="12">
        <f t="shared" si="64"/>
        <v>99875000</v>
      </c>
      <c r="F51" s="12">
        <f t="shared" si="65"/>
        <v>18976250</v>
      </c>
      <c r="G51" s="12">
        <f t="shared" si="61"/>
        <v>118851250</v>
      </c>
      <c r="H51" s="12">
        <f t="shared" si="66"/>
        <v>89138437.5</v>
      </c>
      <c r="I51" s="12">
        <f t="shared" si="67"/>
        <v>28132343.75</v>
      </c>
      <c r="J51" s="2"/>
      <c r="K51" s="167" t="s">
        <v>42</v>
      </c>
      <c r="L51" s="11">
        <v>90</v>
      </c>
      <c r="M51" s="12">
        <f t="shared" si="73"/>
        <v>765000</v>
      </c>
      <c r="N51" s="12">
        <f t="shared" si="62"/>
        <v>68850000</v>
      </c>
      <c r="O51" s="12">
        <f t="shared" si="68"/>
        <v>13081500</v>
      </c>
      <c r="P51" s="12">
        <f t="shared" si="69"/>
        <v>2409750</v>
      </c>
      <c r="Q51" s="13">
        <f t="shared" si="70"/>
        <v>79521750</v>
      </c>
      <c r="R51" s="14">
        <f t="shared" si="71"/>
        <v>55665225</v>
      </c>
      <c r="S51" s="26">
        <f t="shared" si="72"/>
        <v>23856525.000000004</v>
      </c>
      <c r="T51" s="3"/>
      <c r="U51" s="2"/>
      <c r="V51" s="2"/>
      <c r="W51" s="35"/>
      <c r="X51" s="37"/>
      <c r="Y51" s="37"/>
      <c r="Z51" s="37"/>
      <c r="AA51" s="37"/>
      <c r="AC51" s="58"/>
      <c r="AD51" s="2"/>
    </row>
    <row r="52" spans="1:30" ht="15.75" customHeight="1">
      <c r="A52" s="1"/>
      <c r="B52" s="159" t="s">
        <v>43</v>
      </c>
      <c r="C52" s="11">
        <v>92</v>
      </c>
      <c r="D52" s="12">
        <f t="shared" si="63"/>
        <v>1062500</v>
      </c>
      <c r="E52" s="12">
        <f t="shared" si="64"/>
        <v>97750000</v>
      </c>
      <c r="F52" s="12">
        <f t="shared" si="65"/>
        <v>18572500</v>
      </c>
      <c r="G52" s="12">
        <f t="shared" si="61"/>
        <v>116322500</v>
      </c>
      <c r="H52" s="12">
        <f t="shared" si="66"/>
        <v>87241875</v>
      </c>
      <c r="I52" s="12">
        <f t="shared" si="67"/>
        <v>29712812.5</v>
      </c>
      <c r="J52" s="2"/>
      <c r="K52" s="167" t="s">
        <v>43</v>
      </c>
      <c r="L52" s="11">
        <v>96</v>
      </c>
      <c r="M52" s="12">
        <f t="shared" si="73"/>
        <v>765000</v>
      </c>
      <c r="N52" s="12">
        <f t="shared" si="62"/>
        <v>73440000</v>
      </c>
      <c r="O52" s="12">
        <f t="shared" si="68"/>
        <v>13953600</v>
      </c>
      <c r="P52" s="12">
        <f t="shared" si="69"/>
        <v>2570400.0000000005</v>
      </c>
      <c r="Q52" s="13">
        <f t="shared" si="70"/>
        <v>84823200</v>
      </c>
      <c r="R52" s="14">
        <f t="shared" si="71"/>
        <v>59376239.999999993</v>
      </c>
      <c r="S52" s="26">
        <f t="shared" si="72"/>
        <v>23856525.000000004</v>
      </c>
      <c r="T52" s="3"/>
      <c r="U52" s="2"/>
      <c r="V52" s="2"/>
      <c r="W52" s="35"/>
      <c r="X52" s="37"/>
      <c r="Y52" s="37"/>
      <c r="Z52" s="37"/>
      <c r="AA52" s="37"/>
      <c r="AC52" s="58"/>
      <c r="AD52" s="2"/>
    </row>
    <row r="53" spans="1:30" ht="15.75" customHeight="1">
      <c r="A53" s="1"/>
      <c r="B53" s="159" t="s">
        <v>44</v>
      </c>
      <c r="C53" s="11">
        <v>88</v>
      </c>
      <c r="D53" s="12">
        <f t="shared" si="63"/>
        <v>1062500</v>
      </c>
      <c r="E53" s="12">
        <f t="shared" si="64"/>
        <v>93500000</v>
      </c>
      <c r="F53" s="12">
        <f t="shared" si="65"/>
        <v>17765000</v>
      </c>
      <c r="G53" s="12">
        <f t="shared" si="61"/>
        <v>111265000</v>
      </c>
      <c r="H53" s="12">
        <f t="shared" si="66"/>
        <v>83448750</v>
      </c>
      <c r="I53" s="12">
        <f t="shared" si="67"/>
        <v>29080625</v>
      </c>
      <c r="J53" s="2"/>
      <c r="K53" s="167" t="s">
        <v>44</v>
      </c>
      <c r="L53" s="11">
        <v>90</v>
      </c>
      <c r="M53" s="12">
        <f t="shared" si="73"/>
        <v>765000</v>
      </c>
      <c r="N53" s="12">
        <f t="shared" si="62"/>
        <v>68850000</v>
      </c>
      <c r="O53" s="12">
        <f t="shared" si="68"/>
        <v>13081500</v>
      </c>
      <c r="P53" s="12">
        <f t="shared" si="69"/>
        <v>2409750</v>
      </c>
      <c r="Q53" s="13">
        <f t="shared" si="70"/>
        <v>79521750</v>
      </c>
      <c r="R53" s="14">
        <f t="shared" si="71"/>
        <v>55665225</v>
      </c>
      <c r="S53" s="26">
        <f t="shared" si="72"/>
        <v>25446960.000000004</v>
      </c>
      <c r="T53" s="3"/>
      <c r="U53" s="2"/>
      <c r="V53" s="2"/>
      <c r="W53" s="35"/>
      <c r="X53" s="37"/>
      <c r="Y53" s="37"/>
      <c r="Z53" s="37"/>
      <c r="AA53" s="37"/>
      <c r="AC53" s="58"/>
      <c r="AD53" s="2"/>
    </row>
    <row r="54" spans="1:30" ht="15.75" customHeight="1">
      <c r="A54" s="1"/>
      <c r="B54" s="159" t="s">
        <v>45</v>
      </c>
      <c r="C54" s="11">
        <v>93</v>
      </c>
      <c r="D54" s="12">
        <f t="shared" si="63"/>
        <v>1062500</v>
      </c>
      <c r="E54" s="12">
        <f t="shared" si="64"/>
        <v>98812500</v>
      </c>
      <c r="F54" s="12">
        <f t="shared" si="65"/>
        <v>18774375</v>
      </c>
      <c r="G54" s="12">
        <f t="shared" si="61"/>
        <v>117586875</v>
      </c>
      <c r="H54" s="12">
        <f t="shared" si="66"/>
        <v>88190156.25</v>
      </c>
      <c r="I54" s="12">
        <f t="shared" si="67"/>
        <v>27816250</v>
      </c>
      <c r="J54" s="2"/>
      <c r="K54" s="167" t="s">
        <v>45</v>
      </c>
      <c r="L54" s="11">
        <v>92</v>
      </c>
      <c r="M54" s="12">
        <f t="shared" si="73"/>
        <v>765000</v>
      </c>
      <c r="N54" s="12">
        <f t="shared" si="62"/>
        <v>70380000</v>
      </c>
      <c r="O54" s="12">
        <f t="shared" si="68"/>
        <v>13372200</v>
      </c>
      <c r="P54" s="12">
        <f t="shared" si="69"/>
        <v>2463300.0000000005</v>
      </c>
      <c r="Q54" s="13">
        <f t="shared" si="70"/>
        <v>81288900</v>
      </c>
      <c r="R54" s="14">
        <f t="shared" si="71"/>
        <v>56902230</v>
      </c>
      <c r="S54" s="26">
        <f t="shared" si="72"/>
        <v>23856525.000000004</v>
      </c>
      <c r="T54" s="3"/>
      <c r="U54" s="2"/>
      <c r="V54" s="2"/>
      <c r="W54" s="35"/>
      <c r="X54" s="37"/>
      <c r="Y54" s="37"/>
      <c r="Z54" s="37"/>
      <c r="AA54" s="37"/>
      <c r="AC54" s="58"/>
      <c r="AD54" s="2"/>
    </row>
    <row r="55" spans="1:30" ht="15.75" customHeight="1">
      <c r="A55" s="1"/>
      <c r="B55" s="159" t="s">
        <v>46</v>
      </c>
      <c r="C55" s="11">
        <v>94</v>
      </c>
      <c r="D55" s="12">
        <f t="shared" si="63"/>
        <v>1062500</v>
      </c>
      <c r="E55" s="12">
        <f t="shared" si="64"/>
        <v>99875000</v>
      </c>
      <c r="F55" s="12">
        <f t="shared" si="65"/>
        <v>18976250</v>
      </c>
      <c r="G55" s="12">
        <f t="shared" si="61"/>
        <v>118851250</v>
      </c>
      <c r="H55" s="12">
        <f t="shared" si="66"/>
        <v>89138437.5</v>
      </c>
      <c r="I55" s="12">
        <f t="shared" si="67"/>
        <v>29396718.75</v>
      </c>
      <c r="J55" s="2"/>
      <c r="K55" s="167" t="s">
        <v>46</v>
      </c>
      <c r="L55" s="11">
        <v>90</v>
      </c>
      <c r="M55" s="12">
        <f t="shared" si="73"/>
        <v>765000</v>
      </c>
      <c r="N55" s="12">
        <f t="shared" si="62"/>
        <v>68850000</v>
      </c>
      <c r="O55" s="12">
        <f t="shared" si="68"/>
        <v>13081500</v>
      </c>
      <c r="P55" s="12">
        <f t="shared" si="69"/>
        <v>2409750</v>
      </c>
      <c r="Q55" s="13">
        <f t="shared" si="70"/>
        <v>79521750</v>
      </c>
      <c r="R55" s="14">
        <f t="shared" si="71"/>
        <v>55665225</v>
      </c>
      <c r="S55" s="26">
        <f t="shared" si="72"/>
        <v>24386670.000000004</v>
      </c>
      <c r="T55" s="3"/>
      <c r="U55" s="2"/>
      <c r="V55" s="2"/>
      <c r="W55" s="35"/>
      <c r="X55" s="37"/>
      <c r="Y55" s="37"/>
      <c r="Z55" s="37"/>
      <c r="AA55" s="37"/>
      <c r="AD55" s="2"/>
    </row>
    <row r="56" spans="1:30" ht="15.75" customHeight="1">
      <c r="A56" s="1"/>
      <c r="B56" s="160" t="s">
        <v>47</v>
      </c>
      <c r="C56" s="11">
        <v>99</v>
      </c>
      <c r="D56" s="12">
        <f t="shared" si="63"/>
        <v>1062500</v>
      </c>
      <c r="E56" s="12">
        <f t="shared" si="64"/>
        <v>105187500</v>
      </c>
      <c r="F56" s="12">
        <f t="shared" si="65"/>
        <v>19985625</v>
      </c>
      <c r="G56" s="12">
        <f t="shared" si="61"/>
        <v>125173125</v>
      </c>
      <c r="H56" s="12">
        <f t="shared" si="66"/>
        <v>93879843.75</v>
      </c>
      <c r="I56" s="12">
        <f t="shared" si="67"/>
        <v>29712812.5</v>
      </c>
      <c r="J56" s="2"/>
      <c r="K56" s="167" t="s">
        <v>47</v>
      </c>
      <c r="L56" s="11">
        <v>100</v>
      </c>
      <c r="M56" s="12">
        <f t="shared" si="73"/>
        <v>765000</v>
      </c>
      <c r="N56" s="12">
        <f t="shared" si="62"/>
        <v>76500000</v>
      </c>
      <c r="O56" s="12">
        <f t="shared" si="68"/>
        <v>14535000</v>
      </c>
      <c r="P56" s="12">
        <f t="shared" si="69"/>
        <v>2677500.0000000005</v>
      </c>
      <c r="Q56" s="13">
        <f t="shared" si="70"/>
        <v>88357500</v>
      </c>
      <c r="R56" s="14">
        <f t="shared" si="71"/>
        <v>61850249.999999993</v>
      </c>
      <c r="S56" s="26">
        <f t="shared" si="72"/>
        <v>23856525.000000004</v>
      </c>
      <c r="T56" s="3"/>
      <c r="U56" s="2"/>
      <c r="V56" s="2"/>
      <c r="W56" s="35"/>
      <c r="X56" s="37"/>
      <c r="Y56" s="37"/>
      <c r="Z56" s="37"/>
      <c r="AA56" s="37"/>
    </row>
    <row r="57" spans="1:30" ht="15.75" customHeight="1">
      <c r="A57" s="1"/>
      <c r="B57" s="35"/>
      <c r="C57" s="36"/>
      <c r="D57" s="37"/>
      <c r="E57" s="37"/>
      <c r="F57" s="2"/>
      <c r="G57" s="37"/>
      <c r="H57" s="2"/>
      <c r="I57" s="12">
        <f t="shared" si="67"/>
        <v>31293281.25</v>
      </c>
      <c r="J57" s="2"/>
      <c r="K57" s="167" t="s">
        <v>36</v>
      </c>
      <c r="L57" s="11">
        <f t="shared" ref="L57:L58" si="74">C57</f>
        <v>0</v>
      </c>
      <c r="M57" s="12"/>
      <c r="N57" s="12"/>
      <c r="O57" s="12"/>
      <c r="P57" s="12"/>
      <c r="Q57" s="38"/>
      <c r="R57" s="39"/>
      <c r="S57" s="26">
        <f t="shared" si="72"/>
        <v>26507250.000000004</v>
      </c>
      <c r="T57" s="3"/>
      <c r="U57" s="2"/>
      <c r="V57" s="2"/>
      <c r="W57" s="35"/>
      <c r="X57" s="37"/>
      <c r="Y57" s="37"/>
      <c r="Z57" s="37"/>
      <c r="AA57" s="37"/>
    </row>
    <row r="58" spans="1:30" ht="15.75" customHeight="1">
      <c r="A58" s="1"/>
      <c r="B58" s="35"/>
      <c r="C58" s="2"/>
      <c r="D58" s="37"/>
      <c r="E58" s="37"/>
      <c r="F58" s="2"/>
      <c r="G58" s="37"/>
      <c r="H58" s="2"/>
      <c r="J58" s="2"/>
      <c r="K58" s="167" t="s">
        <v>37</v>
      </c>
      <c r="L58" s="11">
        <f t="shared" si="74"/>
        <v>0</v>
      </c>
      <c r="M58" s="12"/>
      <c r="N58" s="12"/>
      <c r="O58" s="12"/>
      <c r="P58" s="12"/>
      <c r="Q58" s="38"/>
      <c r="R58" s="39"/>
      <c r="T58" s="3"/>
      <c r="U58" s="2"/>
      <c r="V58" s="2"/>
      <c r="W58" s="35"/>
      <c r="X58" s="37"/>
      <c r="Y58" s="37"/>
      <c r="Z58" s="37"/>
      <c r="AA58" s="37"/>
    </row>
    <row r="59" spans="1:30" ht="15.75" customHeight="1" thickBot="1">
      <c r="A59" s="60"/>
      <c r="B59" s="61"/>
      <c r="C59" s="62"/>
      <c r="D59" s="63"/>
      <c r="E59" s="63"/>
      <c r="F59" s="62"/>
      <c r="G59" s="63"/>
      <c r="H59" s="62"/>
      <c r="I59" s="63"/>
      <c r="J59" s="62"/>
      <c r="K59" s="61"/>
      <c r="L59" s="64"/>
      <c r="M59" s="63"/>
      <c r="N59" s="63"/>
      <c r="O59" s="63"/>
      <c r="P59" s="63"/>
      <c r="Q59" s="64"/>
      <c r="R59" s="62"/>
      <c r="S59" s="63"/>
      <c r="T59" s="65"/>
      <c r="U59" s="2"/>
      <c r="V59" s="2"/>
      <c r="W59" s="35"/>
      <c r="X59" s="37"/>
      <c r="Y59" s="37"/>
      <c r="Z59" s="37"/>
      <c r="AA59" s="37"/>
    </row>
    <row r="60" spans="1:30" ht="15.75" customHeight="1">
      <c r="A60" s="1"/>
      <c r="B60" s="2"/>
      <c r="C60" s="2" t="s">
        <v>55</v>
      </c>
      <c r="D60" s="2" t="s">
        <v>56</v>
      </c>
      <c r="E60" s="2"/>
      <c r="F60" s="2"/>
      <c r="G60" s="2"/>
      <c r="H60" s="2"/>
      <c r="I60" s="2"/>
      <c r="J60" s="2"/>
      <c r="K60" s="2"/>
      <c r="L60" s="2"/>
      <c r="M60" s="2" t="s">
        <v>56</v>
      </c>
      <c r="N60" s="2"/>
      <c r="O60" s="2"/>
      <c r="P60" s="2"/>
      <c r="Q60" s="2"/>
      <c r="R60" s="2"/>
      <c r="S60" s="2"/>
      <c r="T60" s="3"/>
      <c r="U60" s="2"/>
      <c r="V60" s="2"/>
      <c r="W60" s="2"/>
      <c r="X60" s="2"/>
      <c r="Y60" s="2"/>
      <c r="Z60" s="2"/>
      <c r="AA60" s="37"/>
    </row>
    <row r="61" spans="1:30" ht="15.75" customHeight="1">
      <c r="A61" s="1"/>
      <c r="B61" s="2"/>
      <c r="C61" s="67">
        <v>2.5000000000000001E-2</v>
      </c>
      <c r="D61" s="68">
        <v>0.06</v>
      </c>
      <c r="E61" s="2"/>
      <c r="F61" s="2"/>
      <c r="G61" s="2"/>
      <c r="H61" s="2"/>
      <c r="I61" s="2"/>
      <c r="J61" s="2"/>
      <c r="K61" s="2"/>
      <c r="L61" s="69">
        <v>0.03</v>
      </c>
      <c r="M61" s="68">
        <f>D61</f>
        <v>0.06</v>
      </c>
      <c r="N61" s="2"/>
      <c r="O61" s="2"/>
      <c r="P61" s="2"/>
      <c r="Q61" s="2"/>
      <c r="R61" s="2"/>
      <c r="S61" s="2"/>
      <c r="T61" s="3"/>
      <c r="U61" s="2"/>
      <c r="V61" s="2"/>
      <c r="W61" s="2"/>
      <c r="X61" s="2"/>
      <c r="Y61" s="2"/>
      <c r="Z61" s="2"/>
      <c r="AA61" s="2"/>
    </row>
    <row r="62" spans="1:30" ht="15.75" customHeight="1">
      <c r="A62" s="1"/>
      <c r="B62" s="361" t="s">
        <v>48</v>
      </c>
      <c r="C62" s="362"/>
      <c r="D62" s="362"/>
      <c r="E62" s="362"/>
      <c r="F62" s="362"/>
      <c r="G62" s="362"/>
      <c r="H62" s="362"/>
      <c r="I62" s="363"/>
      <c r="J62" s="5"/>
      <c r="K62" s="364" t="s">
        <v>49</v>
      </c>
      <c r="L62" s="365"/>
      <c r="M62" s="365"/>
      <c r="N62" s="365"/>
      <c r="O62" s="365"/>
      <c r="P62" s="365"/>
      <c r="Q62" s="365"/>
      <c r="R62" s="365"/>
      <c r="S62" s="366"/>
      <c r="T62" s="6"/>
      <c r="U62" s="5"/>
      <c r="V62" s="2"/>
      <c r="W62" s="2"/>
      <c r="X62" s="2"/>
      <c r="Y62" s="2"/>
      <c r="Z62" s="2"/>
      <c r="AA62" s="2"/>
    </row>
    <row r="63" spans="1:30" ht="15.75" customHeight="1">
      <c r="A63" s="1"/>
      <c r="B63" s="361" t="str">
        <f>B4</f>
        <v xml:space="preserve">BICICLETA TODO TERRENO </v>
      </c>
      <c r="C63" s="362"/>
      <c r="D63" s="362"/>
      <c r="E63" s="362"/>
      <c r="F63" s="362"/>
      <c r="G63" s="362"/>
      <c r="H63" s="362"/>
      <c r="I63" s="363"/>
      <c r="J63" s="5"/>
      <c r="K63" s="364" t="str">
        <f>B63</f>
        <v xml:space="preserve">BICICLETA TODO TERRENO </v>
      </c>
      <c r="L63" s="365"/>
      <c r="M63" s="365"/>
      <c r="N63" s="365"/>
      <c r="O63" s="365"/>
      <c r="P63" s="365"/>
      <c r="Q63" s="365"/>
      <c r="R63" s="365"/>
      <c r="S63" s="366"/>
      <c r="T63" s="6"/>
      <c r="U63" s="5"/>
      <c r="W63" s="2"/>
      <c r="X63" s="2"/>
      <c r="Y63" s="2"/>
      <c r="Z63" s="2"/>
      <c r="AA63" s="2"/>
    </row>
    <row r="64" spans="1:30" ht="15.75" customHeight="1">
      <c r="A64" s="1"/>
      <c r="B64" s="367" t="s">
        <v>11</v>
      </c>
      <c r="C64" s="367" t="s">
        <v>24</v>
      </c>
      <c r="D64" s="367" t="s">
        <v>25</v>
      </c>
      <c r="E64" s="367" t="s">
        <v>26</v>
      </c>
      <c r="F64" s="161" t="s">
        <v>17</v>
      </c>
      <c r="G64" s="367" t="s">
        <v>27</v>
      </c>
      <c r="H64" s="161" t="s">
        <v>28</v>
      </c>
      <c r="I64" s="161" t="s">
        <v>29</v>
      </c>
      <c r="J64" s="5"/>
      <c r="K64" s="356" t="s">
        <v>11</v>
      </c>
      <c r="L64" s="356" t="s">
        <v>24</v>
      </c>
      <c r="M64" s="356" t="s">
        <v>30</v>
      </c>
      <c r="N64" s="356" t="s">
        <v>31</v>
      </c>
      <c r="O64" s="163" t="s">
        <v>17</v>
      </c>
      <c r="P64" s="163" t="s">
        <v>32</v>
      </c>
      <c r="Q64" s="356" t="s">
        <v>33</v>
      </c>
      <c r="R64" s="163" t="s">
        <v>34</v>
      </c>
      <c r="S64" s="163" t="s">
        <v>35</v>
      </c>
      <c r="T64" s="6"/>
      <c r="U64" s="5"/>
      <c r="W64" s="2"/>
      <c r="X64" s="2"/>
      <c r="Y64" s="2"/>
      <c r="Z64" s="2"/>
      <c r="AA64" s="2"/>
    </row>
    <row r="65" spans="1:21" ht="15.75" customHeight="1">
      <c r="A65" s="1"/>
      <c r="B65" s="368"/>
      <c r="C65" s="368"/>
      <c r="D65" s="368"/>
      <c r="E65" s="368"/>
      <c r="F65" s="162">
        <v>0.19</v>
      </c>
      <c r="G65" s="368"/>
      <c r="H65" s="162">
        <v>0.75</v>
      </c>
      <c r="I65" s="162">
        <f>100%-H65</f>
        <v>0.25</v>
      </c>
      <c r="J65" s="5"/>
      <c r="K65" s="357"/>
      <c r="L65" s="357"/>
      <c r="M65" s="357"/>
      <c r="N65" s="357"/>
      <c r="O65" s="164">
        <v>0.19</v>
      </c>
      <c r="P65" s="165">
        <v>3.5000000000000003E-2</v>
      </c>
      <c r="Q65" s="357"/>
      <c r="R65" s="166">
        <v>0.7</v>
      </c>
      <c r="S65" s="164">
        <f>1-R65</f>
        <v>0.30000000000000004</v>
      </c>
      <c r="T65" s="6"/>
      <c r="U65" s="5"/>
    </row>
    <row r="66" spans="1:21" ht="15.75" customHeight="1">
      <c r="A66" s="1"/>
      <c r="B66" s="159" t="s">
        <v>36</v>
      </c>
      <c r="C66" s="11">
        <f>ROUNDUP(C7*(1+$C$61),0)</f>
        <v>195</v>
      </c>
      <c r="D66" s="12">
        <f>D7*(1+$D$61)</f>
        <v>1060000</v>
      </c>
      <c r="E66" s="12">
        <f>C66*D66</f>
        <v>206700000</v>
      </c>
      <c r="F66" s="12">
        <f t="shared" ref="F66:F77" si="75">E66*0.19</f>
        <v>39273000</v>
      </c>
      <c r="G66" s="12">
        <f t="shared" ref="G66:G77" si="76">E66+F66</f>
        <v>245973000</v>
      </c>
      <c r="H66" s="12">
        <f>G66*$H$6</f>
        <v>184479750</v>
      </c>
      <c r="I66" s="12"/>
      <c r="J66" s="2"/>
      <c r="K66" s="167" t="s">
        <v>36</v>
      </c>
      <c r="L66" s="11">
        <f>ROUNDUP(L7*(1+$L$61),0)</f>
        <v>206</v>
      </c>
      <c r="M66" s="12">
        <f>M7*(1+$M$61)</f>
        <v>689000</v>
      </c>
      <c r="N66" s="12">
        <f t="shared" ref="N66:N77" si="77">L66*M66</f>
        <v>141934000</v>
      </c>
      <c r="O66" s="12">
        <f>N66*$O$6</f>
        <v>26967460</v>
      </c>
      <c r="P66" s="12">
        <f>N66*$P$6</f>
        <v>4967690.0000000009</v>
      </c>
      <c r="Q66" s="13">
        <f>N66+O66-P66</f>
        <v>163933770</v>
      </c>
      <c r="R66" s="14">
        <f>Q66*$R$6</f>
        <v>114753639</v>
      </c>
      <c r="S66" s="15"/>
      <c r="T66" s="3"/>
      <c r="U66" s="2"/>
    </row>
    <row r="67" spans="1:21" ht="15.75" customHeight="1">
      <c r="A67" s="1"/>
      <c r="B67" s="159" t="s">
        <v>37</v>
      </c>
      <c r="C67" s="11">
        <f t="shared" ref="C67:C77" si="78">ROUNDUP(C8*(1+$C$61),0)</f>
        <v>205</v>
      </c>
      <c r="D67" s="12">
        <f t="shared" ref="D67:D77" si="79">D8*(1+$D$61)</f>
        <v>1060000</v>
      </c>
      <c r="E67" s="12">
        <f t="shared" ref="E67:E77" si="80">C67*D67</f>
        <v>217300000</v>
      </c>
      <c r="F67" s="12">
        <f t="shared" si="75"/>
        <v>41287000</v>
      </c>
      <c r="G67" s="12">
        <f t="shared" si="76"/>
        <v>258587000</v>
      </c>
      <c r="H67" s="12">
        <f t="shared" ref="H67:H77" si="81">G67*$H$6</f>
        <v>193940250</v>
      </c>
      <c r="I67" s="12">
        <f t="shared" ref="I67:I78" si="82">G66*$I$6</f>
        <v>61493250</v>
      </c>
      <c r="J67" s="2"/>
      <c r="K67" s="167" t="s">
        <v>37</v>
      </c>
      <c r="L67" s="11">
        <f t="shared" ref="L67:L77" si="83">ROUNDUP(L8*(1+$L$61),0)</f>
        <v>206</v>
      </c>
      <c r="M67" s="12">
        <f t="shared" ref="M67:M77" si="84">M8*(1+$M$61)</f>
        <v>689000</v>
      </c>
      <c r="N67" s="12">
        <f t="shared" si="77"/>
        <v>141934000</v>
      </c>
      <c r="O67" s="12">
        <f t="shared" ref="O67:O77" si="85">N67*$O$6</f>
        <v>26967460</v>
      </c>
      <c r="P67" s="12">
        <f t="shared" ref="P67:P77" si="86">N67*$P$6</f>
        <v>4967690.0000000009</v>
      </c>
      <c r="Q67" s="13">
        <f t="shared" ref="Q67:Q77" si="87">N67+O67-P67</f>
        <v>163933770</v>
      </c>
      <c r="R67" s="14">
        <f t="shared" ref="R67:R77" si="88">Q67*$R$6</f>
        <v>114753639</v>
      </c>
      <c r="S67" s="26">
        <f t="shared" ref="S67:S78" si="89">Q66*$S$6</f>
        <v>49180131.000000007</v>
      </c>
      <c r="T67" s="3"/>
      <c r="U67" s="2"/>
    </row>
    <row r="68" spans="1:21" ht="15.75" customHeight="1">
      <c r="A68" s="1"/>
      <c r="B68" s="159" t="s">
        <v>38</v>
      </c>
      <c r="C68" s="11">
        <f t="shared" si="78"/>
        <v>192</v>
      </c>
      <c r="D68" s="12">
        <f t="shared" si="79"/>
        <v>1060000</v>
      </c>
      <c r="E68" s="12">
        <f t="shared" si="80"/>
        <v>203520000</v>
      </c>
      <c r="F68" s="12">
        <f t="shared" si="75"/>
        <v>38668800</v>
      </c>
      <c r="G68" s="12">
        <f t="shared" si="76"/>
        <v>242188800</v>
      </c>
      <c r="H68" s="12">
        <f t="shared" si="81"/>
        <v>181641600</v>
      </c>
      <c r="I68" s="12">
        <f t="shared" si="82"/>
        <v>64646750</v>
      </c>
      <c r="J68" s="2"/>
      <c r="K68" s="167" t="s">
        <v>38</v>
      </c>
      <c r="L68" s="11">
        <f t="shared" si="83"/>
        <v>196</v>
      </c>
      <c r="M68" s="12">
        <f t="shared" si="84"/>
        <v>689000</v>
      </c>
      <c r="N68" s="12">
        <f t="shared" si="77"/>
        <v>135044000</v>
      </c>
      <c r="O68" s="12">
        <f t="shared" si="85"/>
        <v>25658360</v>
      </c>
      <c r="P68" s="12">
        <f t="shared" si="86"/>
        <v>4726540</v>
      </c>
      <c r="Q68" s="13">
        <f t="shared" si="87"/>
        <v>155975820</v>
      </c>
      <c r="R68" s="14">
        <f t="shared" si="88"/>
        <v>109183074</v>
      </c>
      <c r="S68" s="26">
        <f t="shared" si="89"/>
        <v>49180131.000000007</v>
      </c>
      <c r="T68" s="3"/>
      <c r="U68" s="2"/>
    </row>
    <row r="69" spans="1:21" ht="15.75" customHeight="1">
      <c r="A69" s="1"/>
      <c r="B69" s="159" t="s">
        <v>39</v>
      </c>
      <c r="C69" s="11">
        <f t="shared" si="78"/>
        <v>207</v>
      </c>
      <c r="D69" s="12">
        <f t="shared" si="79"/>
        <v>1060000</v>
      </c>
      <c r="E69" s="12">
        <f t="shared" si="80"/>
        <v>219420000</v>
      </c>
      <c r="F69" s="12">
        <f t="shared" si="75"/>
        <v>41689800</v>
      </c>
      <c r="G69" s="12">
        <f t="shared" si="76"/>
        <v>261109800</v>
      </c>
      <c r="H69" s="12">
        <f t="shared" si="81"/>
        <v>195832350</v>
      </c>
      <c r="I69" s="12">
        <f t="shared" si="82"/>
        <v>60547200</v>
      </c>
      <c r="J69" s="2"/>
      <c r="K69" s="167" t="s">
        <v>39</v>
      </c>
      <c r="L69" s="11">
        <f t="shared" si="83"/>
        <v>196</v>
      </c>
      <c r="M69" s="12">
        <f t="shared" si="84"/>
        <v>689000</v>
      </c>
      <c r="N69" s="12">
        <f t="shared" si="77"/>
        <v>135044000</v>
      </c>
      <c r="O69" s="12">
        <f t="shared" si="85"/>
        <v>25658360</v>
      </c>
      <c r="P69" s="12">
        <f t="shared" si="86"/>
        <v>4726540</v>
      </c>
      <c r="Q69" s="13">
        <f t="shared" si="87"/>
        <v>155975820</v>
      </c>
      <c r="R69" s="14">
        <f t="shared" si="88"/>
        <v>109183074</v>
      </c>
      <c r="S69" s="26">
        <f t="shared" si="89"/>
        <v>46792746.000000007</v>
      </c>
      <c r="T69" s="3"/>
      <c r="U69" s="2"/>
    </row>
    <row r="70" spans="1:21" ht="15.75" customHeight="1">
      <c r="A70" s="1"/>
      <c r="B70" s="159" t="s">
        <v>40</v>
      </c>
      <c r="C70" s="11">
        <f t="shared" si="78"/>
        <v>216</v>
      </c>
      <c r="D70" s="12">
        <f t="shared" si="79"/>
        <v>1060000</v>
      </c>
      <c r="E70" s="12">
        <f t="shared" si="80"/>
        <v>228960000</v>
      </c>
      <c r="F70" s="12">
        <f t="shared" si="75"/>
        <v>43502400</v>
      </c>
      <c r="G70" s="12">
        <f t="shared" si="76"/>
        <v>272462400</v>
      </c>
      <c r="H70" s="12">
        <f t="shared" si="81"/>
        <v>204346800</v>
      </c>
      <c r="I70" s="12">
        <f t="shared" si="82"/>
        <v>65277450</v>
      </c>
      <c r="J70" s="2"/>
      <c r="K70" s="167" t="s">
        <v>40</v>
      </c>
      <c r="L70" s="11">
        <f t="shared" si="83"/>
        <v>222</v>
      </c>
      <c r="M70" s="12">
        <f t="shared" si="84"/>
        <v>689000</v>
      </c>
      <c r="N70" s="12">
        <f t="shared" si="77"/>
        <v>152958000</v>
      </c>
      <c r="O70" s="12">
        <f t="shared" si="85"/>
        <v>29062020</v>
      </c>
      <c r="P70" s="12">
        <f t="shared" si="86"/>
        <v>5353530.0000000009</v>
      </c>
      <c r="Q70" s="13">
        <f t="shared" si="87"/>
        <v>176666490</v>
      </c>
      <c r="R70" s="14">
        <f t="shared" si="88"/>
        <v>123666542.99999999</v>
      </c>
      <c r="S70" s="26">
        <f t="shared" si="89"/>
        <v>46792746.000000007</v>
      </c>
      <c r="T70" s="3"/>
      <c r="U70" s="2"/>
    </row>
    <row r="71" spans="1:21" ht="15.75" customHeight="1">
      <c r="A71" s="1"/>
      <c r="B71" s="159" t="s">
        <v>41</v>
      </c>
      <c r="C71" s="11">
        <f t="shared" si="78"/>
        <v>203</v>
      </c>
      <c r="D71" s="12">
        <f t="shared" si="79"/>
        <v>1060000</v>
      </c>
      <c r="E71" s="12">
        <f t="shared" si="80"/>
        <v>215180000</v>
      </c>
      <c r="F71" s="12">
        <f t="shared" si="75"/>
        <v>40884200</v>
      </c>
      <c r="G71" s="12">
        <f t="shared" si="76"/>
        <v>256064200</v>
      </c>
      <c r="H71" s="12">
        <f t="shared" si="81"/>
        <v>192048150</v>
      </c>
      <c r="I71" s="12">
        <f t="shared" si="82"/>
        <v>68115600</v>
      </c>
      <c r="J71" s="2"/>
      <c r="K71" s="167" t="s">
        <v>41</v>
      </c>
      <c r="L71" s="11">
        <f t="shared" si="83"/>
        <v>206</v>
      </c>
      <c r="M71" s="12">
        <f t="shared" si="84"/>
        <v>689000</v>
      </c>
      <c r="N71" s="12">
        <f t="shared" si="77"/>
        <v>141934000</v>
      </c>
      <c r="O71" s="12">
        <f t="shared" si="85"/>
        <v>26967460</v>
      </c>
      <c r="P71" s="12">
        <f t="shared" si="86"/>
        <v>4967690.0000000009</v>
      </c>
      <c r="Q71" s="13">
        <f t="shared" si="87"/>
        <v>163933770</v>
      </c>
      <c r="R71" s="14">
        <f t="shared" si="88"/>
        <v>114753639</v>
      </c>
      <c r="S71" s="26">
        <f t="shared" si="89"/>
        <v>52999947.000000007</v>
      </c>
      <c r="T71" s="3"/>
      <c r="U71" s="2"/>
    </row>
    <row r="72" spans="1:21" ht="15.75" customHeight="1">
      <c r="A72" s="1"/>
      <c r="B72" s="159" t="s">
        <v>42</v>
      </c>
      <c r="C72" s="11">
        <f t="shared" si="78"/>
        <v>209</v>
      </c>
      <c r="D72" s="12">
        <f t="shared" si="79"/>
        <v>1060000</v>
      </c>
      <c r="E72" s="12">
        <f t="shared" si="80"/>
        <v>221540000</v>
      </c>
      <c r="F72" s="12">
        <f t="shared" si="75"/>
        <v>42092600</v>
      </c>
      <c r="G72" s="12">
        <f t="shared" si="76"/>
        <v>263632600</v>
      </c>
      <c r="H72" s="12">
        <f t="shared" si="81"/>
        <v>197724450</v>
      </c>
      <c r="I72" s="12">
        <f t="shared" si="82"/>
        <v>64016050</v>
      </c>
      <c r="J72" s="2"/>
      <c r="K72" s="167" t="s">
        <v>42</v>
      </c>
      <c r="L72" s="11">
        <f t="shared" si="83"/>
        <v>206</v>
      </c>
      <c r="M72" s="12">
        <f t="shared" si="84"/>
        <v>689000</v>
      </c>
      <c r="N72" s="12">
        <f t="shared" si="77"/>
        <v>141934000</v>
      </c>
      <c r="O72" s="12">
        <f t="shared" si="85"/>
        <v>26967460</v>
      </c>
      <c r="P72" s="12">
        <f t="shared" si="86"/>
        <v>4967690.0000000009</v>
      </c>
      <c r="Q72" s="13">
        <f t="shared" si="87"/>
        <v>163933770</v>
      </c>
      <c r="R72" s="14">
        <f t="shared" si="88"/>
        <v>114753639</v>
      </c>
      <c r="S72" s="26">
        <f t="shared" si="89"/>
        <v>49180131.000000007</v>
      </c>
      <c r="T72" s="3"/>
      <c r="U72" s="2"/>
    </row>
    <row r="73" spans="1:21" ht="15.75" customHeight="1">
      <c r="A73" s="1"/>
      <c r="B73" s="159" t="s">
        <v>43</v>
      </c>
      <c r="C73" s="11">
        <f t="shared" si="78"/>
        <v>211</v>
      </c>
      <c r="D73" s="12">
        <f t="shared" si="79"/>
        <v>1060000</v>
      </c>
      <c r="E73" s="12">
        <f t="shared" si="80"/>
        <v>223660000</v>
      </c>
      <c r="F73" s="12">
        <f t="shared" si="75"/>
        <v>42495400</v>
      </c>
      <c r="G73" s="12">
        <f t="shared" si="76"/>
        <v>266155400</v>
      </c>
      <c r="H73" s="12">
        <f t="shared" si="81"/>
        <v>199616550</v>
      </c>
      <c r="I73" s="12">
        <f t="shared" si="82"/>
        <v>65908150</v>
      </c>
      <c r="J73" s="2"/>
      <c r="K73" s="167" t="s">
        <v>43</v>
      </c>
      <c r="L73" s="11">
        <f t="shared" si="83"/>
        <v>206</v>
      </c>
      <c r="M73" s="12">
        <f t="shared" si="84"/>
        <v>689000</v>
      </c>
      <c r="N73" s="12">
        <f t="shared" si="77"/>
        <v>141934000</v>
      </c>
      <c r="O73" s="12">
        <f t="shared" si="85"/>
        <v>26967460</v>
      </c>
      <c r="P73" s="12">
        <f t="shared" si="86"/>
        <v>4967690.0000000009</v>
      </c>
      <c r="Q73" s="13">
        <f t="shared" si="87"/>
        <v>163933770</v>
      </c>
      <c r="R73" s="14">
        <f t="shared" si="88"/>
        <v>114753639</v>
      </c>
      <c r="S73" s="26">
        <f t="shared" si="89"/>
        <v>49180131.000000007</v>
      </c>
      <c r="T73" s="3"/>
      <c r="U73" s="2"/>
    </row>
    <row r="74" spans="1:21" ht="15.75" customHeight="1">
      <c r="A74" s="1"/>
      <c r="B74" s="159" t="s">
        <v>44</v>
      </c>
      <c r="C74" s="11">
        <f t="shared" si="78"/>
        <v>204</v>
      </c>
      <c r="D74" s="12">
        <f t="shared" si="79"/>
        <v>1060000</v>
      </c>
      <c r="E74" s="12">
        <f t="shared" si="80"/>
        <v>216240000</v>
      </c>
      <c r="F74" s="12">
        <f t="shared" si="75"/>
        <v>41085600</v>
      </c>
      <c r="G74" s="12">
        <f t="shared" si="76"/>
        <v>257325600</v>
      </c>
      <c r="H74" s="12">
        <f t="shared" si="81"/>
        <v>192994200</v>
      </c>
      <c r="I74" s="12">
        <f t="shared" si="82"/>
        <v>66538850</v>
      </c>
      <c r="J74" s="2"/>
      <c r="K74" s="167" t="s">
        <v>44</v>
      </c>
      <c r="L74" s="11">
        <f t="shared" si="83"/>
        <v>217</v>
      </c>
      <c r="M74" s="12">
        <f t="shared" si="84"/>
        <v>689000</v>
      </c>
      <c r="N74" s="12">
        <f t="shared" si="77"/>
        <v>149513000</v>
      </c>
      <c r="O74" s="12">
        <f t="shared" si="85"/>
        <v>28407470</v>
      </c>
      <c r="P74" s="12">
        <f t="shared" si="86"/>
        <v>5232955.0000000009</v>
      </c>
      <c r="Q74" s="13">
        <f t="shared" si="87"/>
        <v>172687515</v>
      </c>
      <c r="R74" s="14">
        <f t="shared" si="88"/>
        <v>120881260.49999999</v>
      </c>
      <c r="S74" s="26">
        <f t="shared" si="89"/>
        <v>49180131.000000007</v>
      </c>
      <c r="T74" s="3"/>
      <c r="U74" s="2"/>
    </row>
    <row r="75" spans="1:21" ht="15.75" customHeight="1">
      <c r="A75" s="1"/>
      <c r="B75" s="159" t="s">
        <v>45</v>
      </c>
      <c r="C75" s="11">
        <f t="shared" si="78"/>
        <v>207</v>
      </c>
      <c r="D75" s="12">
        <f t="shared" si="79"/>
        <v>1060000</v>
      </c>
      <c r="E75" s="12">
        <f t="shared" si="80"/>
        <v>219420000</v>
      </c>
      <c r="F75" s="12">
        <f t="shared" si="75"/>
        <v>41689800</v>
      </c>
      <c r="G75" s="12">
        <f t="shared" si="76"/>
        <v>261109800</v>
      </c>
      <c r="H75" s="12">
        <f t="shared" si="81"/>
        <v>195832350</v>
      </c>
      <c r="I75" s="12">
        <f t="shared" si="82"/>
        <v>64331400</v>
      </c>
      <c r="J75" s="2"/>
      <c r="K75" s="167" t="s">
        <v>45</v>
      </c>
      <c r="L75" s="11">
        <f t="shared" si="83"/>
        <v>206</v>
      </c>
      <c r="M75" s="12">
        <f t="shared" si="84"/>
        <v>689000</v>
      </c>
      <c r="N75" s="12">
        <f t="shared" si="77"/>
        <v>141934000</v>
      </c>
      <c r="O75" s="12">
        <f t="shared" si="85"/>
        <v>26967460</v>
      </c>
      <c r="P75" s="12">
        <f t="shared" si="86"/>
        <v>4967690.0000000009</v>
      </c>
      <c r="Q75" s="13">
        <f t="shared" si="87"/>
        <v>163933770</v>
      </c>
      <c r="R75" s="14">
        <f t="shared" si="88"/>
        <v>114753639</v>
      </c>
      <c r="S75" s="26">
        <f t="shared" si="89"/>
        <v>51806254.500000007</v>
      </c>
      <c r="T75" s="3"/>
      <c r="U75" s="2"/>
    </row>
    <row r="76" spans="1:21" ht="15.75" customHeight="1">
      <c r="A76" s="1"/>
      <c r="B76" s="159" t="s">
        <v>46</v>
      </c>
      <c r="C76" s="11">
        <f t="shared" si="78"/>
        <v>210</v>
      </c>
      <c r="D76" s="12">
        <f t="shared" si="79"/>
        <v>1060000</v>
      </c>
      <c r="E76" s="12">
        <f t="shared" si="80"/>
        <v>222600000</v>
      </c>
      <c r="F76" s="12">
        <f t="shared" si="75"/>
        <v>42294000</v>
      </c>
      <c r="G76" s="12">
        <f t="shared" si="76"/>
        <v>264894000</v>
      </c>
      <c r="H76" s="12">
        <f t="shared" si="81"/>
        <v>198670500</v>
      </c>
      <c r="I76" s="12">
        <f t="shared" si="82"/>
        <v>65277450</v>
      </c>
      <c r="J76" s="2"/>
      <c r="K76" s="167" t="s">
        <v>46</v>
      </c>
      <c r="L76" s="11">
        <f t="shared" si="83"/>
        <v>206</v>
      </c>
      <c r="M76" s="12">
        <f t="shared" si="84"/>
        <v>689000</v>
      </c>
      <c r="N76" s="12">
        <f t="shared" si="77"/>
        <v>141934000</v>
      </c>
      <c r="O76" s="12">
        <f t="shared" si="85"/>
        <v>26967460</v>
      </c>
      <c r="P76" s="12">
        <f t="shared" si="86"/>
        <v>4967690.0000000009</v>
      </c>
      <c r="Q76" s="13">
        <f t="shared" si="87"/>
        <v>163933770</v>
      </c>
      <c r="R76" s="14">
        <f t="shared" si="88"/>
        <v>114753639</v>
      </c>
      <c r="S76" s="26">
        <f t="shared" si="89"/>
        <v>49180131.000000007</v>
      </c>
      <c r="T76" s="3"/>
      <c r="U76" s="2"/>
    </row>
    <row r="77" spans="1:21" ht="15.75" customHeight="1">
      <c r="A77" s="1"/>
      <c r="B77" s="160" t="s">
        <v>47</v>
      </c>
      <c r="C77" s="11">
        <f t="shared" si="78"/>
        <v>216</v>
      </c>
      <c r="D77" s="12">
        <f t="shared" si="79"/>
        <v>1060000</v>
      </c>
      <c r="E77" s="12">
        <f t="shared" si="80"/>
        <v>228960000</v>
      </c>
      <c r="F77" s="12">
        <f t="shared" si="75"/>
        <v>43502400</v>
      </c>
      <c r="G77" s="12">
        <f t="shared" si="76"/>
        <v>272462400</v>
      </c>
      <c r="H77" s="12">
        <f t="shared" si="81"/>
        <v>204346800</v>
      </c>
      <c r="I77" s="12">
        <f t="shared" si="82"/>
        <v>66223500</v>
      </c>
      <c r="J77" s="2"/>
      <c r="K77" s="167" t="s">
        <v>47</v>
      </c>
      <c r="L77" s="11">
        <f t="shared" si="83"/>
        <v>217</v>
      </c>
      <c r="M77" s="12">
        <f t="shared" si="84"/>
        <v>689000</v>
      </c>
      <c r="N77" s="12">
        <f t="shared" si="77"/>
        <v>149513000</v>
      </c>
      <c r="O77" s="12">
        <f t="shared" si="85"/>
        <v>28407470</v>
      </c>
      <c r="P77" s="12">
        <f t="shared" si="86"/>
        <v>5232955.0000000009</v>
      </c>
      <c r="Q77" s="13">
        <f t="shared" si="87"/>
        <v>172687515</v>
      </c>
      <c r="R77" s="14">
        <f t="shared" si="88"/>
        <v>120881260.49999999</v>
      </c>
      <c r="S77" s="26">
        <f t="shared" si="89"/>
        <v>49180131.000000007</v>
      </c>
      <c r="T77" s="3"/>
      <c r="U77" s="2"/>
    </row>
    <row r="78" spans="1:21" ht="15.75" customHeight="1">
      <c r="A78" s="1"/>
      <c r="B78" s="35"/>
      <c r="C78" s="36"/>
      <c r="D78" s="37"/>
      <c r="E78" s="37"/>
      <c r="F78" s="2"/>
      <c r="G78" s="37"/>
      <c r="H78" s="2"/>
      <c r="I78" s="12">
        <f t="shared" si="82"/>
        <v>68115600</v>
      </c>
      <c r="J78" s="2"/>
      <c r="K78" s="167" t="s">
        <v>36</v>
      </c>
      <c r="L78" s="11"/>
      <c r="M78" s="12"/>
      <c r="N78" s="12"/>
      <c r="O78" s="12"/>
      <c r="P78" s="12"/>
      <c r="Q78" s="38"/>
      <c r="R78" s="39"/>
      <c r="S78" s="26">
        <f t="shared" si="89"/>
        <v>51806254.500000007</v>
      </c>
      <c r="T78" s="3"/>
      <c r="U78" s="2"/>
    </row>
    <row r="79" spans="1:21" ht="15.75" customHeight="1">
      <c r="A79" s="1"/>
      <c r="B79" s="35"/>
      <c r="C79" s="2"/>
      <c r="D79" s="37"/>
      <c r="E79" s="37"/>
      <c r="F79" s="2"/>
      <c r="G79" s="37"/>
      <c r="H79" s="2"/>
      <c r="J79" s="2"/>
      <c r="K79" s="167" t="s">
        <v>37</v>
      </c>
      <c r="L79" s="11"/>
      <c r="M79" s="12"/>
      <c r="N79" s="12"/>
      <c r="O79" s="12"/>
      <c r="P79" s="12"/>
      <c r="Q79" s="38"/>
      <c r="R79" s="39"/>
      <c r="T79" s="3"/>
      <c r="U79" s="2"/>
    </row>
    <row r="80" spans="1:21" ht="15.75" customHeight="1">
      <c r="A80" s="1"/>
      <c r="B80" s="35"/>
      <c r="C80" s="2"/>
      <c r="D80" s="37"/>
      <c r="E80" s="37"/>
      <c r="F80" s="2"/>
      <c r="G80" s="37"/>
      <c r="H80" s="2"/>
      <c r="I80" s="37"/>
      <c r="J80" s="2"/>
      <c r="K80" s="35"/>
      <c r="L80" s="36"/>
      <c r="M80" s="37"/>
      <c r="N80" s="37"/>
      <c r="O80" s="37"/>
      <c r="P80" s="37"/>
      <c r="Q80" s="36"/>
      <c r="R80" s="2"/>
      <c r="S80" s="37"/>
      <c r="T80" s="3"/>
      <c r="U80" s="2"/>
    </row>
    <row r="81" spans="1:21" ht="15.75" customHeight="1">
      <c r="A81" s="1"/>
      <c r="B81" s="361" t="str">
        <f>B62</f>
        <v>VENTAS 2022</v>
      </c>
      <c r="C81" s="362"/>
      <c r="D81" s="362"/>
      <c r="E81" s="362"/>
      <c r="F81" s="362"/>
      <c r="G81" s="362"/>
      <c r="H81" s="362"/>
      <c r="I81" s="363"/>
      <c r="J81" s="5"/>
      <c r="K81" s="364" t="str">
        <f>K62</f>
        <v>COMPRAS 2022</v>
      </c>
      <c r="L81" s="365"/>
      <c r="M81" s="365"/>
      <c r="N81" s="365"/>
      <c r="O81" s="365"/>
      <c r="P81" s="365"/>
      <c r="Q81" s="365"/>
      <c r="R81" s="365"/>
      <c r="S81" s="366"/>
      <c r="T81" s="3"/>
      <c r="U81" s="2"/>
    </row>
    <row r="82" spans="1:21" ht="15.75" customHeight="1">
      <c r="A82" s="1"/>
      <c r="B82" s="361" t="str">
        <f>B23</f>
        <v xml:space="preserve">BICICLETA DE MONTAÑA </v>
      </c>
      <c r="C82" s="362"/>
      <c r="D82" s="362"/>
      <c r="E82" s="362"/>
      <c r="F82" s="362"/>
      <c r="G82" s="362"/>
      <c r="H82" s="362"/>
      <c r="I82" s="363"/>
      <c r="J82" s="5"/>
      <c r="K82" s="364" t="str">
        <f>B82</f>
        <v xml:space="preserve">BICICLETA DE MONTAÑA </v>
      </c>
      <c r="L82" s="365"/>
      <c r="M82" s="365"/>
      <c r="N82" s="365"/>
      <c r="O82" s="365"/>
      <c r="P82" s="365"/>
      <c r="Q82" s="365"/>
      <c r="R82" s="365"/>
      <c r="S82" s="366"/>
      <c r="T82" s="6"/>
      <c r="U82" s="5"/>
    </row>
    <row r="83" spans="1:21" ht="15.75" customHeight="1">
      <c r="A83" s="1"/>
      <c r="B83" s="367" t="s">
        <v>11</v>
      </c>
      <c r="C83" s="367" t="s">
        <v>24</v>
      </c>
      <c r="D83" s="367" t="s">
        <v>25</v>
      </c>
      <c r="E83" s="367" t="s">
        <v>26</v>
      </c>
      <c r="F83" s="161" t="s">
        <v>17</v>
      </c>
      <c r="G83" s="367" t="s">
        <v>27</v>
      </c>
      <c r="H83" s="161" t="s">
        <v>28</v>
      </c>
      <c r="I83" s="161" t="s">
        <v>29</v>
      </c>
      <c r="J83" s="5"/>
      <c r="K83" s="356" t="s">
        <v>11</v>
      </c>
      <c r="L83" s="356" t="s">
        <v>24</v>
      </c>
      <c r="M83" s="356" t="s">
        <v>30</v>
      </c>
      <c r="N83" s="356" t="s">
        <v>31</v>
      </c>
      <c r="O83" s="163" t="s">
        <v>17</v>
      </c>
      <c r="P83" s="163" t="s">
        <v>32</v>
      </c>
      <c r="Q83" s="356" t="s">
        <v>33</v>
      </c>
      <c r="R83" s="163" t="s">
        <v>34</v>
      </c>
      <c r="S83" s="163" t="s">
        <v>35</v>
      </c>
      <c r="T83" s="6"/>
      <c r="U83" s="5"/>
    </row>
    <row r="84" spans="1:21" ht="15.75" customHeight="1">
      <c r="A84" s="1"/>
      <c r="B84" s="368"/>
      <c r="C84" s="368"/>
      <c r="D84" s="368"/>
      <c r="E84" s="368"/>
      <c r="F84" s="162">
        <v>0.19</v>
      </c>
      <c r="G84" s="368"/>
      <c r="H84" s="162">
        <v>0.75</v>
      </c>
      <c r="I84" s="162">
        <f>100%-H84</f>
        <v>0.25</v>
      </c>
      <c r="J84" s="5"/>
      <c r="K84" s="357"/>
      <c r="L84" s="357"/>
      <c r="M84" s="357"/>
      <c r="N84" s="357"/>
      <c r="O84" s="164">
        <v>0.19</v>
      </c>
      <c r="P84" s="165">
        <v>3.5000000000000003E-2</v>
      </c>
      <c r="Q84" s="357"/>
      <c r="R84" s="166">
        <v>0.3</v>
      </c>
      <c r="S84" s="164">
        <f>1-R84</f>
        <v>0.7</v>
      </c>
      <c r="T84" s="6"/>
      <c r="U84" s="5"/>
    </row>
    <row r="85" spans="1:21" ht="15.75" customHeight="1">
      <c r="A85" s="1"/>
      <c r="B85" s="159" t="s">
        <v>36</v>
      </c>
      <c r="C85" s="11">
        <f>ROUNDUP(C26*(1+$C$61),0)</f>
        <v>257</v>
      </c>
      <c r="D85" s="12">
        <f>D26*(1+$D$61)</f>
        <v>556981.81818181812</v>
      </c>
      <c r="E85" s="12">
        <f>C85*D85</f>
        <v>143144327.27272725</v>
      </c>
      <c r="F85" s="12">
        <f t="shared" ref="F85:F96" si="90">E85*0.19</f>
        <v>27197422.18181818</v>
      </c>
      <c r="G85" s="12">
        <f t="shared" ref="G85:G96" si="91">E85+F85</f>
        <v>170341749.45454544</v>
      </c>
      <c r="H85" s="12">
        <f>G85*$H$6</f>
        <v>127756312.09090908</v>
      </c>
      <c r="I85" s="12"/>
      <c r="J85" s="2"/>
      <c r="K85" s="167" t="s">
        <v>36</v>
      </c>
      <c r="L85" s="11">
        <f>ROUNDUP(L26*(1+$L$61),0)</f>
        <v>260</v>
      </c>
      <c r="M85" s="12">
        <f>M26*(1+$M$61)</f>
        <v>306340</v>
      </c>
      <c r="N85" s="12">
        <f t="shared" ref="N85:N96" si="92">L85*M85</f>
        <v>79648400</v>
      </c>
      <c r="O85" s="12">
        <f>N85*$O$6</f>
        <v>15133196</v>
      </c>
      <c r="P85" s="12">
        <f>N85*$P$6</f>
        <v>2787694.0000000005</v>
      </c>
      <c r="Q85" s="13">
        <f>N85+O85-P85</f>
        <v>91993902</v>
      </c>
      <c r="R85" s="14">
        <f>Q85*$R$6</f>
        <v>64395731.399999999</v>
      </c>
      <c r="S85" s="15"/>
      <c r="T85" s="6"/>
      <c r="U85" s="5"/>
    </row>
    <row r="86" spans="1:21" ht="15.75" customHeight="1">
      <c r="A86" s="1"/>
      <c r="B86" s="159" t="s">
        <v>37</v>
      </c>
      <c r="C86" s="11">
        <f t="shared" ref="C86:C96" si="93">ROUNDUP(C27*(1+$C$61),0)</f>
        <v>263</v>
      </c>
      <c r="D86" s="12">
        <f t="shared" ref="D86:D96" si="94">D27*(1+$D$61)</f>
        <v>556981.81818181812</v>
      </c>
      <c r="E86" s="12">
        <f t="shared" ref="E86:E96" si="95">C86*D86</f>
        <v>146486218.18181816</v>
      </c>
      <c r="F86" s="12">
        <f t="shared" si="90"/>
        <v>27832381.454545449</v>
      </c>
      <c r="G86" s="12">
        <f t="shared" si="91"/>
        <v>174318599.6363636</v>
      </c>
      <c r="H86" s="12">
        <f t="shared" ref="H86:H96" si="96">G86*$H$6</f>
        <v>130738949.72727269</v>
      </c>
      <c r="I86" s="12">
        <f t="shared" ref="I86:I97" si="97">G85*$I$6</f>
        <v>42585437.36363636</v>
      </c>
      <c r="J86" s="2"/>
      <c r="K86" s="167" t="s">
        <v>37</v>
      </c>
      <c r="L86" s="11">
        <f t="shared" ref="L86:L96" si="98">ROUNDUP(L27*(1+$L$61),0)</f>
        <v>264</v>
      </c>
      <c r="M86" s="12">
        <f t="shared" ref="M86:M96" si="99">M27*(1+$M$61)</f>
        <v>306340</v>
      </c>
      <c r="N86" s="12">
        <f t="shared" si="92"/>
        <v>80873760</v>
      </c>
      <c r="O86" s="12">
        <f t="shared" ref="O86:O96" si="100">N86*$O$6</f>
        <v>15366014.4</v>
      </c>
      <c r="P86" s="12">
        <f t="shared" ref="P86:P96" si="101">N86*$P$6</f>
        <v>2830581.6</v>
      </c>
      <c r="Q86" s="13">
        <f t="shared" ref="Q86:Q96" si="102">N86+O86-P86</f>
        <v>93409192.800000012</v>
      </c>
      <c r="R86" s="14">
        <f t="shared" ref="R86:R96" si="103">Q86*$R$6</f>
        <v>65386434.960000001</v>
      </c>
      <c r="S86" s="26">
        <f t="shared" ref="S86:S97" si="104">Q85*$S$6</f>
        <v>27598170.600000005</v>
      </c>
      <c r="T86" s="3"/>
      <c r="U86" s="2"/>
    </row>
    <row r="87" spans="1:21" ht="15.75" customHeight="1">
      <c r="A87" s="1"/>
      <c r="B87" s="159" t="s">
        <v>38</v>
      </c>
      <c r="C87" s="11">
        <f t="shared" si="93"/>
        <v>259</v>
      </c>
      <c r="D87" s="12">
        <f t="shared" si="94"/>
        <v>556981.81818181812</v>
      </c>
      <c r="E87" s="12">
        <f t="shared" si="95"/>
        <v>144258290.90909091</v>
      </c>
      <c r="F87" s="12">
        <f t="shared" si="90"/>
        <v>27409075.272727273</v>
      </c>
      <c r="G87" s="12">
        <f t="shared" si="91"/>
        <v>171667366.18181819</v>
      </c>
      <c r="H87" s="12">
        <f t="shared" si="96"/>
        <v>128750524.63636364</v>
      </c>
      <c r="I87" s="12">
        <f t="shared" si="97"/>
        <v>43579649.909090899</v>
      </c>
      <c r="J87" s="2"/>
      <c r="K87" s="167" t="s">
        <v>38</v>
      </c>
      <c r="L87" s="11">
        <f t="shared" si="98"/>
        <v>258</v>
      </c>
      <c r="M87" s="12">
        <f t="shared" si="99"/>
        <v>306340</v>
      </c>
      <c r="N87" s="12">
        <f t="shared" si="92"/>
        <v>79035720</v>
      </c>
      <c r="O87" s="12">
        <f t="shared" si="100"/>
        <v>15016786.800000001</v>
      </c>
      <c r="P87" s="12">
        <f t="shared" si="101"/>
        <v>2766250.2</v>
      </c>
      <c r="Q87" s="13">
        <f t="shared" si="102"/>
        <v>91286256.599999994</v>
      </c>
      <c r="R87" s="14">
        <f t="shared" si="103"/>
        <v>63900379.61999999</v>
      </c>
      <c r="S87" s="26">
        <f t="shared" si="104"/>
        <v>28022757.840000007</v>
      </c>
      <c r="T87" s="3"/>
      <c r="U87" s="2"/>
    </row>
    <row r="88" spans="1:21" ht="15.75" customHeight="1">
      <c r="A88" s="1"/>
      <c r="B88" s="159" t="s">
        <v>39</v>
      </c>
      <c r="C88" s="11">
        <f t="shared" si="93"/>
        <v>246</v>
      </c>
      <c r="D88" s="12">
        <f t="shared" si="94"/>
        <v>556981.81818181812</v>
      </c>
      <c r="E88" s="12">
        <f t="shared" si="95"/>
        <v>137017527.27272725</v>
      </c>
      <c r="F88" s="12">
        <f t="shared" si="90"/>
        <v>26033330.18181818</v>
      </c>
      <c r="G88" s="12">
        <f t="shared" si="91"/>
        <v>163050857.45454544</v>
      </c>
      <c r="H88" s="12">
        <f t="shared" si="96"/>
        <v>122288143.09090908</v>
      </c>
      <c r="I88" s="12">
        <f t="shared" si="97"/>
        <v>42916841.545454547</v>
      </c>
      <c r="J88" s="2"/>
      <c r="K88" s="167" t="s">
        <v>39</v>
      </c>
      <c r="L88" s="11">
        <f t="shared" si="98"/>
        <v>248</v>
      </c>
      <c r="M88" s="12">
        <f t="shared" si="99"/>
        <v>306340</v>
      </c>
      <c r="N88" s="12">
        <f t="shared" si="92"/>
        <v>75972320</v>
      </c>
      <c r="O88" s="12">
        <f t="shared" si="100"/>
        <v>14434740.800000001</v>
      </c>
      <c r="P88" s="12">
        <f t="shared" si="101"/>
        <v>2659031.2000000002</v>
      </c>
      <c r="Q88" s="13">
        <f t="shared" si="102"/>
        <v>87748029.599999994</v>
      </c>
      <c r="R88" s="14">
        <f t="shared" si="103"/>
        <v>61423620.719999991</v>
      </c>
      <c r="S88" s="26">
        <f t="shared" si="104"/>
        <v>27385876.98</v>
      </c>
      <c r="T88" s="3"/>
      <c r="U88" s="2"/>
    </row>
    <row r="89" spans="1:21" ht="15.75" customHeight="1">
      <c r="A89" s="1"/>
      <c r="B89" s="159" t="s">
        <v>40</v>
      </c>
      <c r="C89" s="11">
        <f t="shared" si="93"/>
        <v>271</v>
      </c>
      <c r="D89" s="12">
        <f t="shared" si="94"/>
        <v>556981.81818181812</v>
      </c>
      <c r="E89" s="12">
        <f t="shared" si="95"/>
        <v>150942072.72727272</v>
      </c>
      <c r="F89" s="12">
        <f t="shared" si="90"/>
        <v>28678993.818181816</v>
      </c>
      <c r="G89" s="12">
        <f t="shared" si="91"/>
        <v>179621066.54545453</v>
      </c>
      <c r="H89" s="12">
        <f t="shared" si="96"/>
        <v>134715799.90909091</v>
      </c>
      <c r="I89" s="12">
        <f t="shared" si="97"/>
        <v>40762714.36363636</v>
      </c>
      <c r="J89" s="2"/>
      <c r="K89" s="167" t="s">
        <v>40</v>
      </c>
      <c r="L89" s="11">
        <f t="shared" si="98"/>
        <v>273</v>
      </c>
      <c r="M89" s="12">
        <f t="shared" si="99"/>
        <v>306340</v>
      </c>
      <c r="N89" s="12">
        <f t="shared" si="92"/>
        <v>83630820</v>
      </c>
      <c r="O89" s="12">
        <f t="shared" si="100"/>
        <v>15889855.800000001</v>
      </c>
      <c r="P89" s="12">
        <f t="shared" si="101"/>
        <v>2927078.7</v>
      </c>
      <c r="Q89" s="13">
        <f t="shared" si="102"/>
        <v>96593597.099999994</v>
      </c>
      <c r="R89" s="14">
        <f t="shared" si="103"/>
        <v>67615517.969999999</v>
      </c>
      <c r="S89" s="26">
        <f t="shared" si="104"/>
        <v>26324408.880000003</v>
      </c>
      <c r="T89" s="3"/>
      <c r="U89" s="2"/>
    </row>
    <row r="90" spans="1:21" ht="15.75" customHeight="1">
      <c r="A90" s="1"/>
      <c r="B90" s="159" t="s">
        <v>41</v>
      </c>
      <c r="C90" s="11">
        <f t="shared" si="93"/>
        <v>265</v>
      </c>
      <c r="D90" s="12">
        <f t="shared" si="94"/>
        <v>556981.81818181812</v>
      </c>
      <c r="E90" s="12">
        <f t="shared" si="95"/>
        <v>147600181.81818181</v>
      </c>
      <c r="F90" s="12">
        <f t="shared" si="90"/>
        <v>28044034.545454543</v>
      </c>
      <c r="G90" s="12">
        <f t="shared" si="91"/>
        <v>175644216.36363634</v>
      </c>
      <c r="H90" s="12">
        <f t="shared" si="96"/>
        <v>131733162.27272725</v>
      </c>
      <c r="I90" s="12">
        <f t="shared" si="97"/>
        <v>44905266.636363633</v>
      </c>
      <c r="J90" s="2"/>
      <c r="K90" s="167" t="s">
        <v>41</v>
      </c>
      <c r="L90" s="11">
        <f t="shared" si="98"/>
        <v>268</v>
      </c>
      <c r="M90" s="12">
        <f t="shared" si="99"/>
        <v>306340</v>
      </c>
      <c r="N90" s="12">
        <f t="shared" si="92"/>
        <v>82099120</v>
      </c>
      <c r="O90" s="12">
        <f t="shared" si="100"/>
        <v>15598832.800000001</v>
      </c>
      <c r="P90" s="12">
        <f t="shared" si="101"/>
        <v>2873469.2</v>
      </c>
      <c r="Q90" s="13">
        <f t="shared" si="102"/>
        <v>94824483.599999994</v>
      </c>
      <c r="R90" s="14">
        <f t="shared" si="103"/>
        <v>66377138.519999988</v>
      </c>
      <c r="S90" s="26">
        <f t="shared" si="104"/>
        <v>28978079.130000003</v>
      </c>
      <c r="T90" s="3"/>
      <c r="U90" s="2"/>
    </row>
    <row r="91" spans="1:21" ht="15.75" customHeight="1">
      <c r="A91" s="1"/>
      <c r="B91" s="159" t="s">
        <v>42</v>
      </c>
      <c r="C91" s="11">
        <f t="shared" si="93"/>
        <v>277</v>
      </c>
      <c r="D91" s="12">
        <f t="shared" si="94"/>
        <v>556981.81818181812</v>
      </c>
      <c r="E91" s="12">
        <f t="shared" si="95"/>
        <v>154283963.63636363</v>
      </c>
      <c r="F91" s="12">
        <f t="shared" si="90"/>
        <v>29313953.09090909</v>
      </c>
      <c r="G91" s="12">
        <f t="shared" si="91"/>
        <v>183597916.72727272</v>
      </c>
      <c r="H91" s="12">
        <f t="shared" si="96"/>
        <v>137698437.54545453</v>
      </c>
      <c r="I91" s="12">
        <f t="shared" si="97"/>
        <v>43911054.090909086</v>
      </c>
      <c r="J91" s="2"/>
      <c r="K91" s="167" t="s">
        <v>42</v>
      </c>
      <c r="L91" s="11">
        <f t="shared" si="98"/>
        <v>279</v>
      </c>
      <c r="M91" s="12">
        <f t="shared" si="99"/>
        <v>306340</v>
      </c>
      <c r="N91" s="12">
        <f t="shared" si="92"/>
        <v>85468860</v>
      </c>
      <c r="O91" s="12">
        <f t="shared" si="100"/>
        <v>16239083.4</v>
      </c>
      <c r="P91" s="12">
        <f t="shared" si="101"/>
        <v>2991410.1</v>
      </c>
      <c r="Q91" s="13">
        <f t="shared" si="102"/>
        <v>98716533.300000012</v>
      </c>
      <c r="R91" s="14">
        <f t="shared" si="103"/>
        <v>69101573.310000002</v>
      </c>
      <c r="S91" s="26">
        <f t="shared" si="104"/>
        <v>28447345.080000002</v>
      </c>
      <c r="T91" s="3"/>
      <c r="U91" s="2"/>
    </row>
    <row r="92" spans="1:21" ht="15.75" customHeight="1">
      <c r="A92" s="1"/>
      <c r="B92" s="159" t="s">
        <v>43</v>
      </c>
      <c r="C92" s="11">
        <f t="shared" si="93"/>
        <v>265</v>
      </c>
      <c r="D92" s="12">
        <f t="shared" si="94"/>
        <v>556981.81818181812</v>
      </c>
      <c r="E92" s="12">
        <f t="shared" si="95"/>
        <v>147600181.81818181</v>
      </c>
      <c r="F92" s="12">
        <f t="shared" si="90"/>
        <v>28044034.545454543</v>
      </c>
      <c r="G92" s="12">
        <f t="shared" si="91"/>
        <v>175644216.36363634</v>
      </c>
      <c r="H92" s="12">
        <f t="shared" si="96"/>
        <v>131733162.27272725</v>
      </c>
      <c r="I92" s="12">
        <f t="shared" si="97"/>
        <v>45899479.18181818</v>
      </c>
      <c r="J92" s="2"/>
      <c r="K92" s="167" t="s">
        <v>43</v>
      </c>
      <c r="L92" s="11">
        <f t="shared" si="98"/>
        <v>268</v>
      </c>
      <c r="M92" s="12">
        <f t="shared" si="99"/>
        <v>306340</v>
      </c>
      <c r="N92" s="12">
        <f t="shared" si="92"/>
        <v>82099120</v>
      </c>
      <c r="O92" s="12">
        <f t="shared" si="100"/>
        <v>15598832.800000001</v>
      </c>
      <c r="P92" s="12">
        <f t="shared" si="101"/>
        <v>2873469.2</v>
      </c>
      <c r="Q92" s="13">
        <f t="shared" si="102"/>
        <v>94824483.599999994</v>
      </c>
      <c r="R92" s="14">
        <f t="shared" si="103"/>
        <v>66377138.519999988</v>
      </c>
      <c r="S92" s="26">
        <f t="shared" si="104"/>
        <v>29614959.99000001</v>
      </c>
      <c r="T92" s="3"/>
      <c r="U92" s="2"/>
    </row>
    <row r="93" spans="1:21" ht="15.75" customHeight="1">
      <c r="A93" s="1"/>
      <c r="B93" s="159" t="s">
        <v>44</v>
      </c>
      <c r="C93" s="11">
        <f t="shared" si="93"/>
        <v>246</v>
      </c>
      <c r="D93" s="12">
        <f t="shared" si="94"/>
        <v>556981.81818181812</v>
      </c>
      <c r="E93" s="12">
        <f t="shared" si="95"/>
        <v>137017527.27272725</v>
      </c>
      <c r="F93" s="12">
        <f t="shared" si="90"/>
        <v>26033330.18181818</v>
      </c>
      <c r="G93" s="12">
        <f t="shared" si="91"/>
        <v>163050857.45454544</v>
      </c>
      <c r="H93" s="12">
        <f t="shared" si="96"/>
        <v>122288143.09090908</v>
      </c>
      <c r="I93" s="12">
        <f t="shared" si="97"/>
        <v>43911054.090909086</v>
      </c>
      <c r="J93" s="2"/>
      <c r="K93" s="167" t="s">
        <v>44</v>
      </c>
      <c r="L93" s="11">
        <f t="shared" si="98"/>
        <v>248</v>
      </c>
      <c r="M93" s="12">
        <f t="shared" si="99"/>
        <v>306340</v>
      </c>
      <c r="N93" s="12">
        <f t="shared" si="92"/>
        <v>75972320</v>
      </c>
      <c r="O93" s="12">
        <f t="shared" si="100"/>
        <v>14434740.800000001</v>
      </c>
      <c r="P93" s="12">
        <f t="shared" si="101"/>
        <v>2659031.2000000002</v>
      </c>
      <c r="Q93" s="13">
        <f t="shared" si="102"/>
        <v>87748029.599999994</v>
      </c>
      <c r="R93" s="14">
        <f t="shared" si="103"/>
        <v>61423620.719999991</v>
      </c>
      <c r="S93" s="26">
        <f t="shared" si="104"/>
        <v>28447345.080000002</v>
      </c>
      <c r="T93" s="3"/>
      <c r="U93" s="2"/>
    </row>
    <row r="94" spans="1:21" ht="15.75" customHeight="1">
      <c r="A94" s="1"/>
      <c r="B94" s="159" t="s">
        <v>45</v>
      </c>
      <c r="C94" s="11">
        <f t="shared" si="93"/>
        <v>269</v>
      </c>
      <c r="D94" s="12">
        <f t="shared" si="94"/>
        <v>556981.81818181812</v>
      </c>
      <c r="E94" s="12">
        <f t="shared" si="95"/>
        <v>149828109.09090906</v>
      </c>
      <c r="F94" s="12">
        <f t="shared" si="90"/>
        <v>28467340.727272723</v>
      </c>
      <c r="G94" s="12">
        <f t="shared" si="91"/>
        <v>178295449.81818178</v>
      </c>
      <c r="H94" s="12">
        <f t="shared" si="96"/>
        <v>133721587.36363634</v>
      </c>
      <c r="I94" s="12">
        <f t="shared" si="97"/>
        <v>40762714.36363636</v>
      </c>
      <c r="J94" s="2"/>
      <c r="K94" s="167" t="s">
        <v>45</v>
      </c>
      <c r="L94" s="11">
        <f t="shared" si="98"/>
        <v>268</v>
      </c>
      <c r="M94" s="12">
        <f t="shared" si="99"/>
        <v>306340</v>
      </c>
      <c r="N94" s="12">
        <f t="shared" si="92"/>
        <v>82099120</v>
      </c>
      <c r="O94" s="12">
        <f t="shared" si="100"/>
        <v>15598832.800000001</v>
      </c>
      <c r="P94" s="12">
        <f t="shared" si="101"/>
        <v>2873469.2</v>
      </c>
      <c r="Q94" s="13">
        <f t="shared" si="102"/>
        <v>94824483.599999994</v>
      </c>
      <c r="R94" s="14">
        <f t="shared" si="103"/>
        <v>66377138.519999988</v>
      </c>
      <c r="S94" s="26">
        <f t="shared" si="104"/>
        <v>26324408.880000003</v>
      </c>
      <c r="T94" s="3"/>
      <c r="U94" s="2"/>
    </row>
    <row r="95" spans="1:21" ht="15.75" customHeight="1">
      <c r="A95" s="1"/>
      <c r="B95" s="159" t="s">
        <v>46</v>
      </c>
      <c r="C95" s="11">
        <f t="shared" si="93"/>
        <v>257</v>
      </c>
      <c r="D95" s="12">
        <f t="shared" si="94"/>
        <v>556981.81818181812</v>
      </c>
      <c r="E95" s="12">
        <f t="shared" si="95"/>
        <v>143144327.27272725</v>
      </c>
      <c r="F95" s="12">
        <f t="shared" si="90"/>
        <v>27197422.18181818</v>
      </c>
      <c r="G95" s="12">
        <f t="shared" si="91"/>
        <v>170341749.45454544</v>
      </c>
      <c r="H95" s="12">
        <f t="shared" si="96"/>
        <v>127756312.09090908</v>
      </c>
      <c r="I95" s="12">
        <f t="shared" si="97"/>
        <v>44573862.454545446</v>
      </c>
      <c r="J95" s="2"/>
      <c r="K95" s="167" t="s">
        <v>46</v>
      </c>
      <c r="L95" s="11">
        <f t="shared" si="98"/>
        <v>258</v>
      </c>
      <c r="M95" s="12">
        <f t="shared" si="99"/>
        <v>306340</v>
      </c>
      <c r="N95" s="12">
        <f t="shared" si="92"/>
        <v>79035720</v>
      </c>
      <c r="O95" s="12">
        <f t="shared" si="100"/>
        <v>15016786.800000001</v>
      </c>
      <c r="P95" s="12">
        <f t="shared" si="101"/>
        <v>2766250.2</v>
      </c>
      <c r="Q95" s="13">
        <f t="shared" si="102"/>
        <v>91286256.599999994</v>
      </c>
      <c r="R95" s="14">
        <f t="shared" si="103"/>
        <v>63900379.61999999</v>
      </c>
      <c r="S95" s="26">
        <f t="shared" si="104"/>
        <v>28447345.080000002</v>
      </c>
      <c r="T95" s="3"/>
      <c r="U95" s="2"/>
    </row>
    <row r="96" spans="1:21" ht="15.75" customHeight="1">
      <c r="A96" s="1"/>
      <c r="B96" s="160" t="s">
        <v>47</v>
      </c>
      <c r="C96" s="11">
        <f t="shared" si="93"/>
        <v>298</v>
      </c>
      <c r="D96" s="12">
        <f t="shared" si="94"/>
        <v>556981.81818181812</v>
      </c>
      <c r="E96" s="12">
        <f t="shared" si="95"/>
        <v>165980581.81818181</v>
      </c>
      <c r="F96" s="12">
        <f t="shared" si="90"/>
        <v>31536310.545454543</v>
      </c>
      <c r="G96" s="12">
        <f t="shared" si="91"/>
        <v>197516892.36363634</v>
      </c>
      <c r="H96" s="12">
        <f t="shared" si="96"/>
        <v>148137669.27272725</v>
      </c>
      <c r="I96" s="12">
        <f t="shared" si="97"/>
        <v>42585437.36363636</v>
      </c>
      <c r="J96" s="2"/>
      <c r="K96" s="167" t="s">
        <v>47</v>
      </c>
      <c r="L96" s="11">
        <f t="shared" si="98"/>
        <v>299</v>
      </c>
      <c r="M96" s="12">
        <f t="shared" si="99"/>
        <v>306340</v>
      </c>
      <c r="N96" s="12">
        <f t="shared" si="92"/>
        <v>91595660</v>
      </c>
      <c r="O96" s="12">
        <f t="shared" si="100"/>
        <v>17403175.399999999</v>
      </c>
      <c r="P96" s="12">
        <f t="shared" si="101"/>
        <v>3205848.1</v>
      </c>
      <c r="Q96" s="13">
        <f t="shared" si="102"/>
        <v>105792987.30000001</v>
      </c>
      <c r="R96" s="14">
        <f t="shared" si="103"/>
        <v>74055091.109999999</v>
      </c>
      <c r="S96" s="26">
        <f t="shared" si="104"/>
        <v>27385876.98</v>
      </c>
      <c r="T96" s="3"/>
      <c r="U96" s="2"/>
    </row>
    <row r="97" spans="1:21" ht="15.75" customHeight="1">
      <c r="A97" s="1"/>
      <c r="B97" s="35"/>
      <c r="C97" s="36"/>
      <c r="D97" s="37"/>
      <c r="E97" s="37"/>
      <c r="F97" s="2"/>
      <c r="G97" s="37"/>
      <c r="H97" s="2"/>
      <c r="I97" s="12">
        <f t="shared" si="97"/>
        <v>49379223.090909086</v>
      </c>
      <c r="J97" s="2"/>
      <c r="K97" s="167" t="s">
        <v>36</v>
      </c>
      <c r="L97" s="11"/>
      <c r="M97" s="12"/>
      <c r="N97" s="12"/>
      <c r="O97" s="12"/>
      <c r="P97" s="12"/>
      <c r="Q97" s="38"/>
      <c r="R97" s="39"/>
      <c r="S97" s="26">
        <f t="shared" si="104"/>
        <v>31737896.190000009</v>
      </c>
      <c r="T97" s="3"/>
      <c r="U97" s="2"/>
    </row>
    <row r="98" spans="1:21" ht="15.75" customHeight="1">
      <c r="A98" s="1"/>
      <c r="B98" s="35"/>
      <c r="C98" s="2"/>
      <c r="D98" s="37"/>
      <c r="E98" s="37"/>
      <c r="F98" s="2"/>
      <c r="G98" s="37"/>
      <c r="H98" s="2"/>
      <c r="J98" s="2"/>
      <c r="K98" s="167" t="s">
        <v>37</v>
      </c>
      <c r="L98" s="11"/>
      <c r="M98" s="12"/>
      <c r="N98" s="12"/>
      <c r="O98" s="12"/>
      <c r="P98" s="12"/>
      <c r="Q98" s="38"/>
      <c r="R98" s="39"/>
      <c r="T98" s="3"/>
      <c r="U98" s="2"/>
    </row>
    <row r="99" spans="1:21" ht="15.75" customHeight="1">
      <c r="A99" s="1"/>
      <c r="B99" s="35"/>
      <c r="C99" s="2"/>
      <c r="D99" s="37"/>
      <c r="E99" s="37"/>
      <c r="F99" s="2"/>
      <c r="G99" s="37"/>
      <c r="H99" s="2"/>
      <c r="I99" s="37"/>
      <c r="J99" s="2"/>
      <c r="K99" s="35"/>
      <c r="L99" s="36"/>
      <c r="M99" s="37"/>
      <c r="N99" s="37"/>
      <c r="O99" s="37"/>
      <c r="P99" s="37"/>
      <c r="Q99" s="36"/>
      <c r="R99" s="2"/>
      <c r="S99" s="37"/>
      <c r="T99" s="3"/>
      <c r="U99" s="2"/>
    </row>
    <row r="100" spans="1:21" ht="15.75" customHeight="1">
      <c r="A100" s="1"/>
      <c r="B100" s="361" t="str">
        <f>B62</f>
        <v>VENTAS 2022</v>
      </c>
      <c r="C100" s="369"/>
      <c r="D100" s="369"/>
      <c r="E100" s="369"/>
      <c r="F100" s="369"/>
      <c r="G100" s="369"/>
      <c r="H100" s="369"/>
      <c r="I100" s="370"/>
      <c r="J100" s="5"/>
      <c r="K100" s="364" t="str">
        <f>K62</f>
        <v>COMPRAS 2022</v>
      </c>
      <c r="L100" s="365"/>
      <c r="M100" s="365"/>
      <c r="N100" s="365"/>
      <c r="O100" s="365"/>
      <c r="P100" s="365"/>
      <c r="Q100" s="365"/>
      <c r="R100" s="365"/>
      <c r="S100" s="366"/>
      <c r="T100" s="3"/>
      <c r="U100" s="2"/>
    </row>
    <row r="101" spans="1:21" ht="15.75" customHeight="1">
      <c r="A101" s="1"/>
      <c r="B101" s="361" t="str">
        <f>B42</f>
        <v xml:space="preserve">BICLICLETA EXPLORER </v>
      </c>
      <c r="C101" s="362"/>
      <c r="D101" s="362"/>
      <c r="E101" s="362"/>
      <c r="F101" s="362"/>
      <c r="G101" s="362"/>
      <c r="H101" s="362"/>
      <c r="I101" s="363"/>
      <c r="J101" s="5"/>
      <c r="K101" s="364" t="str">
        <f>B101</f>
        <v xml:space="preserve">BICLICLETA EXPLORER </v>
      </c>
      <c r="L101" s="365"/>
      <c r="M101" s="365"/>
      <c r="N101" s="365"/>
      <c r="O101" s="365"/>
      <c r="P101" s="365"/>
      <c r="Q101" s="365"/>
      <c r="R101" s="365"/>
      <c r="S101" s="366"/>
      <c r="T101" s="3"/>
      <c r="U101" s="2"/>
    </row>
    <row r="102" spans="1:21" ht="15.75" customHeight="1">
      <c r="A102" s="1"/>
      <c r="B102" s="367" t="s">
        <v>11</v>
      </c>
      <c r="C102" s="367" t="s">
        <v>24</v>
      </c>
      <c r="D102" s="367" t="s">
        <v>25</v>
      </c>
      <c r="E102" s="367" t="s">
        <v>26</v>
      </c>
      <c r="F102" s="161" t="s">
        <v>17</v>
      </c>
      <c r="G102" s="367" t="s">
        <v>27</v>
      </c>
      <c r="H102" s="161" t="s">
        <v>28</v>
      </c>
      <c r="I102" s="161" t="s">
        <v>29</v>
      </c>
      <c r="J102" s="5"/>
      <c r="K102" s="356" t="s">
        <v>11</v>
      </c>
      <c r="L102" s="356" t="s">
        <v>24</v>
      </c>
      <c r="M102" s="356" t="s">
        <v>30</v>
      </c>
      <c r="N102" s="356" t="s">
        <v>31</v>
      </c>
      <c r="O102" s="163" t="s">
        <v>17</v>
      </c>
      <c r="P102" s="163" t="s">
        <v>32</v>
      </c>
      <c r="Q102" s="356" t="s">
        <v>33</v>
      </c>
      <c r="R102" s="163" t="s">
        <v>34</v>
      </c>
      <c r="S102" s="163" t="s">
        <v>35</v>
      </c>
      <c r="T102" s="6"/>
      <c r="U102" s="5"/>
    </row>
    <row r="103" spans="1:21" ht="15.75" customHeight="1">
      <c r="A103" s="1"/>
      <c r="B103" s="368"/>
      <c r="C103" s="368"/>
      <c r="D103" s="368"/>
      <c r="E103" s="368"/>
      <c r="F103" s="162">
        <v>0.19</v>
      </c>
      <c r="G103" s="368"/>
      <c r="H103" s="162">
        <v>0.75</v>
      </c>
      <c r="I103" s="162">
        <f>100%-H103</f>
        <v>0.25</v>
      </c>
      <c r="J103" s="5"/>
      <c r="K103" s="357"/>
      <c r="L103" s="357"/>
      <c r="M103" s="357"/>
      <c r="N103" s="357"/>
      <c r="O103" s="164">
        <v>0.19</v>
      </c>
      <c r="P103" s="165">
        <v>3.5000000000000003E-2</v>
      </c>
      <c r="Q103" s="357"/>
      <c r="R103" s="166">
        <v>0.7</v>
      </c>
      <c r="S103" s="164">
        <f>1-R103</f>
        <v>0.30000000000000004</v>
      </c>
      <c r="T103" s="6"/>
      <c r="U103" s="5"/>
    </row>
    <row r="104" spans="1:21" ht="15.75" customHeight="1">
      <c r="A104" s="1"/>
      <c r="B104" s="159" t="s">
        <v>36</v>
      </c>
      <c r="C104" s="11">
        <f>ROUNDUP(C45*(1+$C$61),0)</f>
        <v>93</v>
      </c>
      <c r="D104" s="12">
        <f>D45*(1+$D$61)</f>
        <v>1126250</v>
      </c>
      <c r="E104" s="12">
        <f>C104*D104</f>
        <v>104741250</v>
      </c>
      <c r="F104" s="12">
        <f>E104*$F$44</f>
        <v>19900837.5</v>
      </c>
      <c r="G104" s="12">
        <f t="shared" ref="G104:G115" si="105">E104+F104</f>
        <v>124642087.5</v>
      </c>
      <c r="H104" s="12">
        <f>G104*$H$6</f>
        <v>93481565.625</v>
      </c>
      <c r="I104" s="12"/>
      <c r="J104" s="2"/>
      <c r="K104" s="167" t="s">
        <v>36</v>
      </c>
      <c r="L104" s="11">
        <f>ROUNDUP(L45*(1+$L$61),0)</f>
        <v>97</v>
      </c>
      <c r="M104" s="12">
        <f>M45*(1+$M$61)</f>
        <v>810900</v>
      </c>
      <c r="N104" s="12">
        <f t="shared" ref="N104:N115" si="106">L104*M104</f>
        <v>78657300</v>
      </c>
      <c r="O104" s="12">
        <f>N104*$O$6</f>
        <v>14944887</v>
      </c>
      <c r="P104" s="12">
        <f>N104*$P$6</f>
        <v>2753005.5000000005</v>
      </c>
      <c r="Q104" s="13">
        <f>N104+O104-P104</f>
        <v>90849181.5</v>
      </c>
      <c r="R104" s="14">
        <f>Q104*$R$6</f>
        <v>63594427.049999997</v>
      </c>
      <c r="S104" s="15"/>
      <c r="T104" s="6"/>
      <c r="U104" s="5"/>
    </row>
    <row r="105" spans="1:21" ht="15.75" customHeight="1">
      <c r="A105" s="1"/>
      <c r="B105" s="159" t="s">
        <v>37</v>
      </c>
      <c r="C105" s="11">
        <f t="shared" ref="C105:C115" si="107">ROUNDUP(C46*(1+$C$61),0)</f>
        <v>90</v>
      </c>
      <c r="D105" s="12">
        <f t="shared" ref="D105:D115" si="108">D46*(1+$D$61)</f>
        <v>1126250</v>
      </c>
      <c r="E105" s="12">
        <f t="shared" ref="E105:E115" si="109">C105*D105</f>
        <v>101362500</v>
      </c>
      <c r="F105" s="12">
        <f t="shared" ref="F105:F115" si="110">E105*$F$44</f>
        <v>19258875</v>
      </c>
      <c r="G105" s="12">
        <f t="shared" si="105"/>
        <v>120621375</v>
      </c>
      <c r="H105" s="12">
        <f t="shared" ref="H105:H115" si="111">G105*$H$6</f>
        <v>90466031.25</v>
      </c>
      <c r="I105" s="12">
        <f t="shared" ref="I105:I116" si="112">G104*$I$6</f>
        <v>31160521.875</v>
      </c>
      <c r="J105" s="2"/>
      <c r="K105" s="167" t="s">
        <v>37</v>
      </c>
      <c r="L105" s="11">
        <f t="shared" ref="L105:L115" si="113">ROUNDUP(L46*(1+$L$61),0)</f>
        <v>94</v>
      </c>
      <c r="M105" s="12">
        <f t="shared" ref="M105:M115" si="114">M46*(1+$M$61)</f>
        <v>810900</v>
      </c>
      <c r="N105" s="12">
        <f t="shared" si="106"/>
        <v>76224600</v>
      </c>
      <c r="O105" s="12">
        <f t="shared" ref="O105:O115" si="115">N105*$O$6</f>
        <v>14482674</v>
      </c>
      <c r="P105" s="12">
        <f t="shared" ref="P105:P115" si="116">N105*$P$6</f>
        <v>2667861.0000000005</v>
      </c>
      <c r="Q105" s="13">
        <f t="shared" ref="Q105:Q115" si="117">N105+O105-P105</f>
        <v>88039413</v>
      </c>
      <c r="R105" s="14">
        <f t="shared" ref="R105:R115" si="118">Q105*$R$6</f>
        <v>61627589.099999994</v>
      </c>
      <c r="S105" s="26">
        <f t="shared" ref="S105:S116" si="119">Q104*$S$6</f>
        <v>27254754.450000003</v>
      </c>
      <c r="T105" s="6"/>
      <c r="U105" s="5"/>
    </row>
    <row r="106" spans="1:21" ht="15.75" customHeight="1">
      <c r="A106" s="1"/>
      <c r="B106" s="159" t="s">
        <v>38</v>
      </c>
      <c r="C106" s="11">
        <f t="shared" si="107"/>
        <v>95</v>
      </c>
      <c r="D106" s="12">
        <f t="shared" si="108"/>
        <v>1126250</v>
      </c>
      <c r="E106" s="12">
        <f t="shared" si="109"/>
        <v>106993750</v>
      </c>
      <c r="F106" s="12">
        <f t="shared" si="110"/>
        <v>20328812.5</v>
      </c>
      <c r="G106" s="12">
        <f t="shared" si="105"/>
        <v>127322562.5</v>
      </c>
      <c r="H106" s="12">
        <f t="shared" si="111"/>
        <v>95491921.875</v>
      </c>
      <c r="I106" s="12">
        <f t="shared" si="112"/>
        <v>30155343.75</v>
      </c>
      <c r="J106" s="2"/>
      <c r="K106" s="167" t="s">
        <v>38</v>
      </c>
      <c r="L106" s="11">
        <f t="shared" si="113"/>
        <v>91</v>
      </c>
      <c r="M106" s="12">
        <f t="shared" si="114"/>
        <v>810900</v>
      </c>
      <c r="N106" s="12">
        <f t="shared" si="106"/>
        <v>73791900</v>
      </c>
      <c r="O106" s="12">
        <f t="shared" si="115"/>
        <v>14020461</v>
      </c>
      <c r="P106" s="12">
        <f t="shared" si="116"/>
        <v>2582716.5000000005</v>
      </c>
      <c r="Q106" s="13">
        <f t="shared" si="117"/>
        <v>85229644.5</v>
      </c>
      <c r="R106" s="14">
        <f t="shared" si="118"/>
        <v>59660751.149999999</v>
      </c>
      <c r="S106" s="26">
        <f t="shared" si="119"/>
        <v>26411823.900000002</v>
      </c>
      <c r="T106" s="3"/>
      <c r="U106" s="2"/>
    </row>
    <row r="107" spans="1:21" ht="15.75" customHeight="1">
      <c r="A107" s="1"/>
      <c r="B107" s="159" t="s">
        <v>39</v>
      </c>
      <c r="C107" s="11">
        <f t="shared" si="107"/>
        <v>97</v>
      </c>
      <c r="D107" s="12">
        <f t="shared" si="108"/>
        <v>1126250</v>
      </c>
      <c r="E107" s="12">
        <f t="shared" si="109"/>
        <v>109246250</v>
      </c>
      <c r="F107" s="12">
        <f t="shared" si="110"/>
        <v>20756787.5</v>
      </c>
      <c r="G107" s="12">
        <f t="shared" si="105"/>
        <v>130003037.5</v>
      </c>
      <c r="H107" s="12">
        <f t="shared" si="111"/>
        <v>97502278.125</v>
      </c>
      <c r="I107" s="12">
        <f t="shared" si="112"/>
        <v>31830640.625</v>
      </c>
      <c r="J107" s="2"/>
      <c r="K107" s="167" t="s">
        <v>39</v>
      </c>
      <c r="L107" s="11">
        <f t="shared" si="113"/>
        <v>93</v>
      </c>
      <c r="M107" s="12">
        <f t="shared" si="114"/>
        <v>810900</v>
      </c>
      <c r="N107" s="12">
        <f t="shared" si="106"/>
        <v>75413700</v>
      </c>
      <c r="O107" s="12">
        <f t="shared" si="115"/>
        <v>14328603</v>
      </c>
      <c r="P107" s="12">
        <f t="shared" si="116"/>
        <v>2639479.5000000005</v>
      </c>
      <c r="Q107" s="13">
        <f t="shared" si="117"/>
        <v>87102823.5</v>
      </c>
      <c r="R107" s="14">
        <f t="shared" si="118"/>
        <v>60971976.449999996</v>
      </c>
      <c r="S107" s="26">
        <f t="shared" si="119"/>
        <v>25568893.350000005</v>
      </c>
      <c r="T107" s="3"/>
      <c r="U107" s="2"/>
    </row>
    <row r="108" spans="1:21" ht="15.75" customHeight="1">
      <c r="A108" s="1"/>
      <c r="B108" s="159" t="s">
        <v>40</v>
      </c>
      <c r="C108" s="11">
        <f t="shared" si="107"/>
        <v>93</v>
      </c>
      <c r="D108" s="12">
        <f t="shared" si="108"/>
        <v>1126250</v>
      </c>
      <c r="E108" s="12">
        <f t="shared" si="109"/>
        <v>104741250</v>
      </c>
      <c r="F108" s="12">
        <f t="shared" si="110"/>
        <v>19900837.5</v>
      </c>
      <c r="G108" s="12">
        <f t="shared" si="105"/>
        <v>124642087.5</v>
      </c>
      <c r="H108" s="12">
        <f t="shared" si="111"/>
        <v>93481565.625</v>
      </c>
      <c r="I108" s="12">
        <f t="shared" si="112"/>
        <v>32500759.375</v>
      </c>
      <c r="J108" s="2"/>
      <c r="K108" s="167" t="s">
        <v>40</v>
      </c>
      <c r="L108" s="11">
        <f t="shared" si="113"/>
        <v>98</v>
      </c>
      <c r="M108" s="12">
        <f t="shared" si="114"/>
        <v>810900</v>
      </c>
      <c r="N108" s="12">
        <f t="shared" si="106"/>
        <v>79468200</v>
      </c>
      <c r="O108" s="12">
        <f t="shared" si="115"/>
        <v>15098958</v>
      </c>
      <c r="P108" s="12">
        <f t="shared" si="116"/>
        <v>2781387.0000000005</v>
      </c>
      <c r="Q108" s="13">
        <f t="shared" si="117"/>
        <v>91785771</v>
      </c>
      <c r="R108" s="14">
        <f t="shared" si="118"/>
        <v>64250039.699999996</v>
      </c>
      <c r="S108" s="26">
        <f t="shared" si="119"/>
        <v>26130847.050000004</v>
      </c>
      <c r="T108" s="3"/>
      <c r="U108" s="2"/>
    </row>
    <row r="109" spans="1:21" ht="15.75" customHeight="1">
      <c r="A109" s="1"/>
      <c r="B109" s="159" t="s">
        <v>41</v>
      </c>
      <c r="C109" s="11">
        <f t="shared" si="107"/>
        <v>92</v>
      </c>
      <c r="D109" s="12">
        <f t="shared" si="108"/>
        <v>1126250</v>
      </c>
      <c r="E109" s="12">
        <f t="shared" si="109"/>
        <v>103615000</v>
      </c>
      <c r="F109" s="12">
        <f t="shared" si="110"/>
        <v>19686850</v>
      </c>
      <c r="G109" s="12">
        <f t="shared" si="105"/>
        <v>123301850</v>
      </c>
      <c r="H109" s="12">
        <f t="shared" si="111"/>
        <v>92476387.5</v>
      </c>
      <c r="I109" s="12">
        <f t="shared" si="112"/>
        <v>31160521.875</v>
      </c>
      <c r="J109" s="2"/>
      <c r="K109" s="167" t="s">
        <v>41</v>
      </c>
      <c r="L109" s="11">
        <f t="shared" si="113"/>
        <v>93</v>
      </c>
      <c r="M109" s="12">
        <f t="shared" si="114"/>
        <v>810900</v>
      </c>
      <c r="N109" s="12">
        <f t="shared" si="106"/>
        <v>75413700</v>
      </c>
      <c r="O109" s="12">
        <f t="shared" si="115"/>
        <v>14328603</v>
      </c>
      <c r="P109" s="12">
        <f t="shared" si="116"/>
        <v>2639479.5000000005</v>
      </c>
      <c r="Q109" s="13">
        <f t="shared" si="117"/>
        <v>87102823.5</v>
      </c>
      <c r="R109" s="14">
        <f t="shared" si="118"/>
        <v>60971976.449999996</v>
      </c>
      <c r="S109" s="26">
        <f t="shared" si="119"/>
        <v>27535731.300000004</v>
      </c>
      <c r="T109" s="3"/>
      <c r="U109" s="2"/>
    </row>
    <row r="110" spans="1:21" ht="15.75" customHeight="1">
      <c r="A110" s="1"/>
      <c r="B110" s="159" t="s">
        <v>42</v>
      </c>
      <c r="C110" s="11">
        <f t="shared" si="107"/>
        <v>97</v>
      </c>
      <c r="D110" s="12">
        <f t="shared" si="108"/>
        <v>1126250</v>
      </c>
      <c r="E110" s="12">
        <f t="shared" si="109"/>
        <v>109246250</v>
      </c>
      <c r="F110" s="12">
        <f t="shared" si="110"/>
        <v>20756787.5</v>
      </c>
      <c r="G110" s="12">
        <f t="shared" si="105"/>
        <v>130003037.5</v>
      </c>
      <c r="H110" s="12">
        <f t="shared" si="111"/>
        <v>97502278.125</v>
      </c>
      <c r="I110" s="12">
        <f t="shared" si="112"/>
        <v>30825462.5</v>
      </c>
      <c r="J110" s="2"/>
      <c r="K110" s="167" t="s">
        <v>42</v>
      </c>
      <c r="L110" s="11">
        <f t="shared" si="113"/>
        <v>93</v>
      </c>
      <c r="M110" s="12">
        <f t="shared" si="114"/>
        <v>810900</v>
      </c>
      <c r="N110" s="12">
        <f t="shared" si="106"/>
        <v>75413700</v>
      </c>
      <c r="O110" s="12">
        <f t="shared" si="115"/>
        <v>14328603</v>
      </c>
      <c r="P110" s="12">
        <f t="shared" si="116"/>
        <v>2639479.5000000005</v>
      </c>
      <c r="Q110" s="13">
        <f t="shared" si="117"/>
        <v>87102823.5</v>
      </c>
      <c r="R110" s="14">
        <f t="shared" si="118"/>
        <v>60971976.449999996</v>
      </c>
      <c r="S110" s="26">
        <f t="shared" si="119"/>
        <v>26130847.050000004</v>
      </c>
      <c r="T110" s="3"/>
      <c r="U110" s="2"/>
    </row>
    <row r="111" spans="1:21" ht="15.75" customHeight="1">
      <c r="A111" s="1"/>
      <c r="B111" s="159" t="s">
        <v>43</v>
      </c>
      <c r="C111" s="11">
        <f t="shared" si="107"/>
        <v>95</v>
      </c>
      <c r="D111" s="12">
        <f t="shared" si="108"/>
        <v>1126250</v>
      </c>
      <c r="E111" s="12">
        <f t="shared" si="109"/>
        <v>106993750</v>
      </c>
      <c r="F111" s="12">
        <f t="shared" si="110"/>
        <v>20328812.5</v>
      </c>
      <c r="G111" s="12">
        <f t="shared" si="105"/>
        <v>127322562.5</v>
      </c>
      <c r="H111" s="12">
        <f t="shared" si="111"/>
        <v>95491921.875</v>
      </c>
      <c r="I111" s="12">
        <f t="shared" si="112"/>
        <v>32500759.375</v>
      </c>
      <c r="J111" s="2"/>
      <c r="K111" s="167" t="s">
        <v>43</v>
      </c>
      <c r="L111" s="11">
        <f t="shared" si="113"/>
        <v>99</v>
      </c>
      <c r="M111" s="12">
        <f t="shared" si="114"/>
        <v>810900</v>
      </c>
      <c r="N111" s="12">
        <f t="shared" si="106"/>
        <v>80279100</v>
      </c>
      <c r="O111" s="12">
        <f t="shared" si="115"/>
        <v>15253029</v>
      </c>
      <c r="P111" s="12">
        <f t="shared" si="116"/>
        <v>2809768.5000000005</v>
      </c>
      <c r="Q111" s="13">
        <f t="shared" si="117"/>
        <v>92722360.5</v>
      </c>
      <c r="R111" s="14">
        <f t="shared" si="118"/>
        <v>64905652.349999994</v>
      </c>
      <c r="S111" s="26">
        <f t="shared" si="119"/>
        <v>26130847.050000004</v>
      </c>
      <c r="T111" s="3"/>
      <c r="U111" s="2"/>
    </row>
    <row r="112" spans="1:21" ht="15.75" customHeight="1">
      <c r="A112" s="1"/>
      <c r="B112" s="159" t="s">
        <v>44</v>
      </c>
      <c r="C112" s="11">
        <f t="shared" si="107"/>
        <v>91</v>
      </c>
      <c r="D112" s="12">
        <f t="shared" si="108"/>
        <v>1126250</v>
      </c>
      <c r="E112" s="12">
        <f t="shared" si="109"/>
        <v>102488750</v>
      </c>
      <c r="F112" s="12">
        <f t="shared" si="110"/>
        <v>19472862.5</v>
      </c>
      <c r="G112" s="12">
        <f t="shared" si="105"/>
        <v>121961612.5</v>
      </c>
      <c r="H112" s="12">
        <f t="shared" si="111"/>
        <v>91471209.375</v>
      </c>
      <c r="I112" s="12">
        <f t="shared" si="112"/>
        <v>31830640.625</v>
      </c>
      <c r="J112" s="2"/>
      <c r="K112" s="167" t="s">
        <v>44</v>
      </c>
      <c r="L112" s="11">
        <f t="shared" si="113"/>
        <v>93</v>
      </c>
      <c r="M112" s="12">
        <f t="shared" si="114"/>
        <v>810900</v>
      </c>
      <c r="N112" s="12">
        <f t="shared" si="106"/>
        <v>75413700</v>
      </c>
      <c r="O112" s="12">
        <f t="shared" si="115"/>
        <v>14328603</v>
      </c>
      <c r="P112" s="12">
        <f t="shared" si="116"/>
        <v>2639479.5000000005</v>
      </c>
      <c r="Q112" s="13">
        <f t="shared" si="117"/>
        <v>87102823.5</v>
      </c>
      <c r="R112" s="14">
        <f t="shared" si="118"/>
        <v>60971976.449999996</v>
      </c>
      <c r="S112" s="26">
        <f t="shared" si="119"/>
        <v>27816708.150000006</v>
      </c>
      <c r="T112" s="3"/>
      <c r="U112" s="2"/>
    </row>
    <row r="113" spans="1:21" ht="15.75" customHeight="1">
      <c r="A113" s="1"/>
      <c r="B113" s="159" t="s">
        <v>45</v>
      </c>
      <c r="C113" s="11">
        <f t="shared" si="107"/>
        <v>96</v>
      </c>
      <c r="D113" s="12">
        <f t="shared" si="108"/>
        <v>1126250</v>
      </c>
      <c r="E113" s="12">
        <f t="shared" si="109"/>
        <v>108120000</v>
      </c>
      <c r="F113" s="12">
        <f t="shared" si="110"/>
        <v>20542800</v>
      </c>
      <c r="G113" s="12">
        <f t="shared" si="105"/>
        <v>128662800</v>
      </c>
      <c r="H113" s="12">
        <f t="shared" si="111"/>
        <v>96497100</v>
      </c>
      <c r="I113" s="12">
        <f t="shared" si="112"/>
        <v>30490403.125</v>
      </c>
      <c r="J113" s="2"/>
      <c r="K113" s="167" t="s">
        <v>45</v>
      </c>
      <c r="L113" s="11">
        <f t="shared" si="113"/>
        <v>95</v>
      </c>
      <c r="M113" s="12">
        <f t="shared" si="114"/>
        <v>810900</v>
      </c>
      <c r="N113" s="12">
        <f t="shared" si="106"/>
        <v>77035500</v>
      </c>
      <c r="O113" s="12">
        <f t="shared" si="115"/>
        <v>14636745</v>
      </c>
      <c r="P113" s="12">
        <f t="shared" si="116"/>
        <v>2696242.5000000005</v>
      </c>
      <c r="Q113" s="13">
        <f t="shared" si="117"/>
        <v>88976002.5</v>
      </c>
      <c r="R113" s="14">
        <f t="shared" si="118"/>
        <v>62283201.749999993</v>
      </c>
      <c r="S113" s="26">
        <f t="shared" si="119"/>
        <v>26130847.050000004</v>
      </c>
      <c r="T113" s="3"/>
      <c r="U113" s="2"/>
    </row>
    <row r="114" spans="1:21" ht="15.75" customHeight="1">
      <c r="A114" s="1"/>
      <c r="B114" s="159" t="s">
        <v>46</v>
      </c>
      <c r="C114" s="11">
        <f t="shared" si="107"/>
        <v>97</v>
      </c>
      <c r="D114" s="12">
        <f t="shared" si="108"/>
        <v>1126250</v>
      </c>
      <c r="E114" s="12">
        <f t="shared" si="109"/>
        <v>109246250</v>
      </c>
      <c r="F114" s="12">
        <f t="shared" si="110"/>
        <v>20756787.5</v>
      </c>
      <c r="G114" s="12">
        <f t="shared" si="105"/>
        <v>130003037.5</v>
      </c>
      <c r="H114" s="12">
        <f t="shared" si="111"/>
        <v>97502278.125</v>
      </c>
      <c r="I114" s="12">
        <f t="shared" si="112"/>
        <v>32165700</v>
      </c>
      <c r="J114" s="2"/>
      <c r="K114" s="167" t="s">
        <v>46</v>
      </c>
      <c r="L114" s="11">
        <f t="shared" si="113"/>
        <v>93</v>
      </c>
      <c r="M114" s="12">
        <f t="shared" si="114"/>
        <v>810900</v>
      </c>
      <c r="N114" s="12">
        <f t="shared" si="106"/>
        <v>75413700</v>
      </c>
      <c r="O114" s="12">
        <f t="shared" si="115"/>
        <v>14328603</v>
      </c>
      <c r="P114" s="12">
        <f t="shared" si="116"/>
        <v>2639479.5000000005</v>
      </c>
      <c r="Q114" s="13">
        <f t="shared" si="117"/>
        <v>87102823.5</v>
      </c>
      <c r="R114" s="14">
        <f t="shared" si="118"/>
        <v>60971976.449999996</v>
      </c>
      <c r="S114" s="26">
        <f t="shared" si="119"/>
        <v>26692800.750000004</v>
      </c>
      <c r="T114" s="3"/>
      <c r="U114" s="2"/>
    </row>
    <row r="115" spans="1:21" ht="15.75" customHeight="1">
      <c r="A115" s="1"/>
      <c r="B115" s="160" t="s">
        <v>47</v>
      </c>
      <c r="C115" s="11">
        <f t="shared" si="107"/>
        <v>102</v>
      </c>
      <c r="D115" s="12">
        <f t="shared" si="108"/>
        <v>1126250</v>
      </c>
      <c r="E115" s="12">
        <f t="shared" si="109"/>
        <v>114877500</v>
      </c>
      <c r="F115" s="12">
        <f t="shared" si="110"/>
        <v>21826725</v>
      </c>
      <c r="G115" s="12">
        <f t="shared" si="105"/>
        <v>136704225</v>
      </c>
      <c r="H115" s="12">
        <f t="shared" si="111"/>
        <v>102528168.75</v>
      </c>
      <c r="I115" s="12">
        <f t="shared" si="112"/>
        <v>32500759.375</v>
      </c>
      <c r="J115" s="2"/>
      <c r="K115" s="167" t="s">
        <v>47</v>
      </c>
      <c r="L115" s="11">
        <f t="shared" si="113"/>
        <v>103</v>
      </c>
      <c r="M115" s="12">
        <f t="shared" si="114"/>
        <v>810900</v>
      </c>
      <c r="N115" s="12">
        <f t="shared" si="106"/>
        <v>83522700</v>
      </c>
      <c r="O115" s="12">
        <f t="shared" si="115"/>
        <v>15869313</v>
      </c>
      <c r="P115" s="12">
        <f t="shared" si="116"/>
        <v>2923294.5000000005</v>
      </c>
      <c r="Q115" s="13">
        <f t="shared" si="117"/>
        <v>96468718.5</v>
      </c>
      <c r="R115" s="14">
        <f t="shared" si="118"/>
        <v>67528102.950000003</v>
      </c>
      <c r="S115" s="26">
        <f t="shared" si="119"/>
        <v>26130847.050000004</v>
      </c>
      <c r="T115" s="3"/>
      <c r="U115" s="2"/>
    </row>
    <row r="116" spans="1:21" ht="15.75" customHeight="1">
      <c r="A116" s="1"/>
      <c r="B116" s="35"/>
      <c r="C116" s="36"/>
      <c r="D116" s="37"/>
      <c r="E116" s="37"/>
      <c r="F116" s="2"/>
      <c r="G116" s="37"/>
      <c r="H116" s="2"/>
      <c r="I116" s="12">
        <f t="shared" si="112"/>
        <v>34176056.25</v>
      </c>
      <c r="J116" s="2"/>
      <c r="K116" s="167" t="s">
        <v>36</v>
      </c>
      <c r="L116" s="11"/>
      <c r="M116" s="12"/>
      <c r="N116" s="12"/>
      <c r="O116" s="12"/>
      <c r="P116" s="12"/>
      <c r="Q116" s="38"/>
      <c r="R116" s="39"/>
      <c r="S116" s="26">
        <f t="shared" si="119"/>
        <v>28940615.550000004</v>
      </c>
      <c r="T116" s="3"/>
      <c r="U116" s="2"/>
    </row>
    <row r="117" spans="1:21" ht="15.75" customHeight="1">
      <c r="A117" s="1"/>
      <c r="B117" s="35"/>
      <c r="C117" s="2"/>
      <c r="D117" s="37"/>
      <c r="E117" s="37"/>
      <c r="F117" s="2"/>
      <c r="G117" s="37"/>
      <c r="H117" s="2"/>
      <c r="J117" s="2"/>
      <c r="K117" s="167" t="s">
        <v>37</v>
      </c>
      <c r="L117" s="11"/>
      <c r="M117" s="12"/>
      <c r="N117" s="12"/>
      <c r="O117" s="12"/>
      <c r="P117" s="12"/>
      <c r="Q117" s="38"/>
      <c r="R117" s="39"/>
      <c r="T117" s="3"/>
      <c r="U117" s="2"/>
    </row>
    <row r="118" spans="1:21" ht="15.75" customHeight="1" thickBot="1">
      <c r="A118" s="60"/>
      <c r="B118" s="61"/>
      <c r="C118" s="62"/>
      <c r="D118" s="63"/>
      <c r="E118" s="63"/>
      <c r="F118" s="62"/>
      <c r="G118" s="63"/>
      <c r="H118" s="62"/>
      <c r="I118" s="63"/>
      <c r="J118" s="62"/>
      <c r="K118" s="61"/>
      <c r="L118" s="64"/>
      <c r="M118" s="63"/>
      <c r="N118" s="63"/>
      <c r="O118" s="63"/>
      <c r="P118" s="63"/>
      <c r="Q118" s="64"/>
      <c r="R118" s="62"/>
      <c r="S118" s="63"/>
      <c r="T118" s="65"/>
      <c r="U118" s="2"/>
    </row>
    <row r="119" spans="1:21" ht="15.75" customHeight="1">
      <c r="A119" s="1"/>
      <c r="B119" s="2"/>
      <c r="C119" s="2"/>
      <c r="D119" s="2" t="s">
        <v>57</v>
      </c>
      <c r="E119" s="2"/>
      <c r="F119" s="2"/>
      <c r="G119" s="2"/>
      <c r="H119" s="2"/>
      <c r="I119" s="2"/>
      <c r="J119" s="2"/>
      <c r="K119" s="2"/>
      <c r="L119" s="2"/>
      <c r="M119" s="2" t="s">
        <v>57</v>
      </c>
      <c r="N119" s="2"/>
      <c r="O119" s="2"/>
      <c r="P119" s="2"/>
      <c r="Q119" s="2"/>
      <c r="R119" s="2"/>
      <c r="S119" s="2"/>
      <c r="T119" s="3"/>
      <c r="U119" s="2"/>
    </row>
    <row r="120" spans="1:21" ht="15.75" customHeight="1">
      <c r="A120" s="1"/>
      <c r="B120" s="2"/>
      <c r="C120" s="2"/>
      <c r="D120" s="68">
        <v>0.04</v>
      </c>
      <c r="E120" s="2"/>
      <c r="F120" s="2"/>
      <c r="G120" s="2"/>
      <c r="H120" s="2"/>
      <c r="I120" s="2"/>
      <c r="J120" s="2"/>
      <c r="K120" s="2"/>
      <c r="L120" s="2"/>
      <c r="M120" s="68">
        <f>D120</f>
        <v>0.04</v>
      </c>
      <c r="N120" s="2"/>
      <c r="O120" s="2"/>
      <c r="P120" s="2"/>
      <c r="Q120" s="2"/>
      <c r="R120" s="2"/>
      <c r="S120" s="2"/>
      <c r="T120" s="3"/>
      <c r="U120" s="2"/>
    </row>
    <row r="121" spans="1:21" ht="15.75" customHeight="1">
      <c r="A121" s="1"/>
      <c r="B121" s="361" t="s">
        <v>50</v>
      </c>
      <c r="C121" s="362"/>
      <c r="D121" s="362"/>
      <c r="E121" s="362"/>
      <c r="F121" s="362"/>
      <c r="G121" s="362"/>
      <c r="H121" s="362"/>
      <c r="I121" s="363"/>
      <c r="J121" s="5"/>
      <c r="K121" s="364" t="s">
        <v>51</v>
      </c>
      <c r="L121" s="365"/>
      <c r="M121" s="365"/>
      <c r="N121" s="365"/>
      <c r="O121" s="365"/>
      <c r="P121" s="365"/>
      <c r="Q121" s="365"/>
      <c r="R121" s="365"/>
      <c r="S121" s="366"/>
      <c r="T121" s="6"/>
      <c r="U121" s="5"/>
    </row>
    <row r="122" spans="1:21" ht="15.75" customHeight="1">
      <c r="A122" s="1"/>
      <c r="B122" s="361" t="str">
        <f>B63</f>
        <v xml:space="preserve">BICICLETA TODO TERRENO </v>
      </c>
      <c r="C122" s="362"/>
      <c r="D122" s="362"/>
      <c r="E122" s="362"/>
      <c r="F122" s="362"/>
      <c r="G122" s="362"/>
      <c r="H122" s="362"/>
      <c r="I122" s="363"/>
      <c r="J122" s="5"/>
      <c r="K122" s="364" t="str">
        <f>B122</f>
        <v xml:space="preserve">BICICLETA TODO TERRENO </v>
      </c>
      <c r="L122" s="365"/>
      <c r="M122" s="365"/>
      <c r="N122" s="365"/>
      <c r="O122" s="365"/>
      <c r="P122" s="365"/>
      <c r="Q122" s="365"/>
      <c r="R122" s="365"/>
      <c r="S122" s="366"/>
      <c r="T122" s="6"/>
      <c r="U122" s="5"/>
    </row>
    <row r="123" spans="1:21" ht="15.75" customHeight="1">
      <c r="A123" s="1"/>
      <c r="B123" s="367" t="s">
        <v>11</v>
      </c>
      <c r="C123" s="367" t="s">
        <v>24</v>
      </c>
      <c r="D123" s="367" t="s">
        <v>25</v>
      </c>
      <c r="E123" s="367" t="s">
        <v>26</v>
      </c>
      <c r="F123" s="161" t="s">
        <v>17</v>
      </c>
      <c r="G123" s="367" t="s">
        <v>27</v>
      </c>
      <c r="H123" s="161" t="s">
        <v>28</v>
      </c>
      <c r="I123" s="161" t="s">
        <v>29</v>
      </c>
      <c r="J123" s="5"/>
      <c r="K123" s="356" t="s">
        <v>11</v>
      </c>
      <c r="L123" s="356" t="s">
        <v>24</v>
      </c>
      <c r="M123" s="356" t="s">
        <v>30</v>
      </c>
      <c r="N123" s="356" t="s">
        <v>31</v>
      </c>
      <c r="O123" s="163" t="s">
        <v>17</v>
      </c>
      <c r="P123" s="163" t="s">
        <v>32</v>
      </c>
      <c r="Q123" s="356" t="s">
        <v>33</v>
      </c>
      <c r="R123" s="163" t="s">
        <v>34</v>
      </c>
      <c r="S123" s="163" t="s">
        <v>35</v>
      </c>
      <c r="T123" s="6"/>
      <c r="U123" s="5"/>
    </row>
    <row r="124" spans="1:21" ht="15.75" customHeight="1">
      <c r="A124" s="1"/>
      <c r="B124" s="368"/>
      <c r="C124" s="368"/>
      <c r="D124" s="368"/>
      <c r="E124" s="368"/>
      <c r="F124" s="162">
        <v>0.19</v>
      </c>
      <c r="G124" s="368"/>
      <c r="H124" s="162">
        <v>0.75</v>
      </c>
      <c r="I124" s="162">
        <f>100%-H124</f>
        <v>0.25</v>
      </c>
      <c r="J124" s="5"/>
      <c r="K124" s="357"/>
      <c r="L124" s="357"/>
      <c r="M124" s="357"/>
      <c r="N124" s="357"/>
      <c r="O124" s="164">
        <v>0.19</v>
      </c>
      <c r="P124" s="165">
        <v>3.5000000000000003E-2</v>
      </c>
      <c r="Q124" s="357"/>
      <c r="R124" s="166">
        <v>0.7</v>
      </c>
      <c r="S124" s="164">
        <f>1-R124</f>
        <v>0.30000000000000004</v>
      </c>
      <c r="T124" s="6"/>
      <c r="U124" s="5"/>
    </row>
    <row r="125" spans="1:21" ht="15.75" customHeight="1">
      <c r="A125" s="1"/>
      <c r="B125" s="159" t="s">
        <v>36</v>
      </c>
      <c r="C125" s="11">
        <f>ROUNDUP(C66*(1+$C$61),0)</f>
        <v>200</v>
      </c>
      <c r="D125" s="12">
        <f>D66*(1+$D$120)</f>
        <v>1102400</v>
      </c>
      <c r="E125" s="12">
        <f>C125*D125</f>
        <v>220480000</v>
      </c>
      <c r="F125" s="12">
        <f t="shared" ref="F125:F136" si="120">E125*0.19</f>
        <v>41891200</v>
      </c>
      <c r="G125" s="12">
        <f t="shared" ref="G125:G136" si="121">E125+F125</f>
        <v>262371200</v>
      </c>
      <c r="H125" s="12">
        <f>G125*$H$6</f>
        <v>196778400</v>
      </c>
      <c r="I125" s="12"/>
      <c r="J125" s="2"/>
      <c r="K125" s="167" t="s">
        <v>36</v>
      </c>
      <c r="L125" s="11">
        <f>ROUNDUP(L66*(1+$L$61),0)</f>
        <v>213</v>
      </c>
      <c r="M125" s="12">
        <f>M66*(1+$M$120)</f>
        <v>716560</v>
      </c>
      <c r="N125" s="12">
        <f t="shared" ref="N125:N136" si="122">L125*M125</f>
        <v>152627280</v>
      </c>
      <c r="O125" s="12">
        <f>N125*$O$6</f>
        <v>28999183.199999999</v>
      </c>
      <c r="P125" s="12">
        <f>N125*$P$6</f>
        <v>5341954.8000000007</v>
      </c>
      <c r="Q125" s="13">
        <f>N125+O125-P125</f>
        <v>176284508.39999998</v>
      </c>
      <c r="R125" s="14">
        <f>Q125*$R$6</f>
        <v>123399155.87999998</v>
      </c>
      <c r="S125" s="15"/>
      <c r="T125" s="3"/>
      <c r="U125" s="2"/>
    </row>
    <row r="126" spans="1:21" ht="15.75" customHeight="1">
      <c r="A126" s="1"/>
      <c r="B126" s="159" t="s">
        <v>37</v>
      </c>
      <c r="C126" s="11">
        <f t="shared" ref="C126:C136" si="123">ROUNDUP(C67*(1+$C$61),0)</f>
        <v>211</v>
      </c>
      <c r="D126" s="12">
        <f t="shared" ref="D126:D136" si="124">D67*(1+$D$120)</f>
        <v>1102400</v>
      </c>
      <c r="E126" s="12">
        <f t="shared" ref="E126:E136" si="125">C126*D126</f>
        <v>232606400</v>
      </c>
      <c r="F126" s="12">
        <f t="shared" si="120"/>
        <v>44195216</v>
      </c>
      <c r="G126" s="12">
        <f t="shared" si="121"/>
        <v>276801616</v>
      </c>
      <c r="H126" s="12">
        <f t="shared" ref="H126:H136" si="126">G126*$H$6</f>
        <v>207601212</v>
      </c>
      <c r="I126" s="12">
        <f t="shared" ref="I126:I137" si="127">G125*$I$6</f>
        <v>65592800</v>
      </c>
      <c r="J126" s="2"/>
      <c r="K126" s="167" t="s">
        <v>37</v>
      </c>
      <c r="L126" s="11">
        <f t="shared" ref="L126:L136" si="128">ROUNDUP(L67*(1+$L$61),0)</f>
        <v>213</v>
      </c>
      <c r="M126" s="12">
        <f t="shared" ref="M126:M136" si="129">M67*(1+$M$120)</f>
        <v>716560</v>
      </c>
      <c r="N126" s="12">
        <f t="shared" si="122"/>
        <v>152627280</v>
      </c>
      <c r="O126" s="12">
        <f t="shared" ref="O126:O136" si="130">N126*$O$6</f>
        <v>28999183.199999999</v>
      </c>
      <c r="P126" s="12">
        <f t="shared" ref="P126:P136" si="131">N126*$P$6</f>
        <v>5341954.8000000007</v>
      </c>
      <c r="Q126" s="13">
        <f t="shared" ref="Q126:Q136" si="132">N126+O126-P126</f>
        <v>176284508.39999998</v>
      </c>
      <c r="R126" s="14">
        <f t="shared" ref="R126:R136" si="133">Q126*$R$6</f>
        <v>123399155.87999998</v>
      </c>
      <c r="S126" s="26">
        <f t="shared" ref="S126:S137" si="134">Q125*$S$6</f>
        <v>52885352.520000003</v>
      </c>
      <c r="T126" s="3"/>
      <c r="U126" s="2"/>
    </row>
    <row r="127" spans="1:21" ht="15.75" customHeight="1">
      <c r="A127" s="1"/>
      <c r="B127" s="159" t="s">
        <v>38</v>
      </c>
      <c r="C127" s="11">
        <f t="shared" si="123"/>
        <v>197</v>
      </c>
      <c r="D127" s="12">
        <f t="shared" si="124"/>
        <v>1102400</v>
      </c>
      <c r="E127" s="12">
        <f t="shared" si="125"/>
        <v>217172800</v>
      </c>
      <c r="F127" s="12">
        <f t="shared" si="120"/>
        <v>41262832</v>
      </c>
      <c r="G127" s="12">
        <f t="shared" si="121"/>
        <v>258435632</v>
      </c>
      <c r="H127" s="12">
        <f t="shared" si="126"/>
        <v>193826724</v>
      </c>
      <c r="I127" s="12">
        <f t="shared" si="127"/>
        <v>69200404</v>
      </c>
      <c r="J127" s="2"/>
      <c r="K127" s="167" t="s">
        <v>38</v>
      </c>
      <c r="L127" s="11">
        <f t="shared" si="128"/>
        <v>202</v>
      </c>
      <c r="M127" s="12">
        <f t="shared" si="129"/>
        <v>716560</v>
      </c>
      <c r="N127" s="12">
        <f t="shared" si="122"/>
        <v>144745120</v>
      </c>
      <c r="O127" s="12">
        <f t="shared" si="130"/>
        <v>27501572.800000001</v>
      </c>
      <c r="P127" s="12">
        <f t="shared" si="131"/>
        <v>5066079.2</v>
      </c>
      <c r="Q127" s="13">
        <f t="shared" si="132"/>
        <v>167180613.60000002</v>
      </c>
      <c r="R127" s="14">
        <f t="shared" si="133"/>
        <v>117026429.52000001</v>
      </c>
      <c r="S127" s="26">
        <f t="shared" si="134"/>
        <v>52885352.520000003</v>
      </c>
      <c r="T127" s="3"/>
      <c r="U127" s="2"/>
    </row>
    <row r="128" spans="1:21" ht="15.75" customHeight="1">
      <c r="A128" s="1"/>
      <c r="B128" s="159" t="s">
        <v>39</v>
      </c>
      <c r="C128" s="11">
        <f t="shared" si="123"/>
        <v>213</v>
      </c>
      <c r="D128" s="12">
        <f t="shared" si="124"/>
        <v>1102400</v>
      </c>
      <c r="E128" s="12">
        <f t="shared" si="125"/>
        <v>234811200</v>
      </c>
      <c r="F128" s="12">
        <f t="shared" si="120"/>
        <v>44614128</v>
      </c>
      <c r="G128" s="12">
        <f t="shared" si="121"/>
        <v>279425328</v>
      </c>
      <c r="H128" s="12">
        <f t="shared" si="126"/>
        <v>209568996</v>
      </c>
      <c r="I128" s="12">
        <f t="shared" si="127"/>
        <v>64608908</v>
      </c>
      <c r="J128" s="2"/>
      <c r="K128" s="167" t="s">
        <v>39</v>
      </c>
      <c r="L128" s="11">
        <f t="shared" si="128"/>
        <v>202</v>
      </c>
      <c r="M128" s="12">
        <f t="shared" si="129"/>
        <v>716560</v>
      </c>
      <c r="N128" s="12">
        <f t="shared" si="122"/>
        <v>144745120</v>
      </c>
      <c r="O128" s="12">
        <f t="shared" si="130"/>
        <v>27501572.800000001</v>
      </c>
      <c r="P128" s="12">
        <f t="shared" si="131"/>
        <v>5066079.2</v>
      </c>
      <c r="Q128" s="13">
        <f t="shared" si="132"/>
        <v>167180613.60000002</v>
      </c>
      <c r="R128" s="14">
        <f t="shared" si="133"/>
        <v>117026429.52000001</v>
      </c>
      <c r="S128" s="26">
        <f t="shared" si="134"/>
        <v>50154184.080000013</v>
      </c>
      <c r="T128" s="3"/>
      <c r="U128" s="2"/>
    </row>
    <row r="129" spans="1:21" ht="15.75" customHeight="1">
      <c r="A129" s="1"/>
      <c r="B129" s="159" t="s">
        <v>40</v>
      </c>
      <c r="C129" s="11">
        <f t="shared" si="123"/>
        <v>222</v>
      </c>
      <c r="D129" s="12">
        <f t="shared" si="124"/>
        <v>1102400</v>
      </c>
      <c r="E129" s="12">
        <f t="shared" si="125"/>
        <v>244732800</v>
      </c>
      <c r="F129" s="12">
        <f t="shared" si="120"/>
        <v>46499232</v>
      </c>
      <c r="G129" s="12">
        <f t="shared" si="121"/>
        <v>291232032</v>
      </c>
      <c r="H129" s="12">
        <f t="shared" si="126"/>
        <v>218424024</v>
      </c>
      <c r="I129" s="12">
        <f t="shared" si="127"/>
        <v>69856332</v>
      </c>
      <c r="J129" s="2"/>
      <c r="K129" s="167" t="s">
        <v>40</v>
      </c>
      <c r="L129" s="11">
        <f t="shared" si="128"/>
        <v>229</v>
      </c>
      <c r="M129" s="12">
        <f t="shared" si="129"/>
        <v>716560</v>
      </c>
      <c r="N129" s="12">
        <f t="shared" si="122"/>
        <v>164092240</v>
      </c>
      <c r="O129" s="12">
        <f t="shared" si="130"/>
        <v>31177525.600000001</v>
      </c>
      <c r="P129" s="12">
        <f t="shared" si="131"/>
        <v>5743228.4000000004</v>
      </c>
      <c r="Q129" s="13">
        <f t="shared" si="132"/>
        <v>189526537.19999999</v>
      </c>
      <c r="R129" s="14">
        <f t="shared" si="133"/>
        <v>132668576.03999998</v>
      </c>
      <c r="S129" s="26">
        <f t="shared" si="134"/>
        <v>50154184.080000013</v>
      </c>
      <c r="T129" s="3"/>
      <c r="U129" s="2"/>
    </row>
    <row r="130" spans="1:21" ht="15.75" customHeight="1">
      <c r="A130" s="1"/>
      <c r="B130" s="159" t="s">
        <v>41</v>
      </c>
      <c r="C130" s="11">
        <f t="shared" si="123"/>
        <v>209</v>
      </c>
      <c r="D130" s="12">
        <f t="shared" si="124"/>
        <v>1102400</v>
      </c>
      <c r="E130" s="12">
        <f t="shared" si="125"/>
        <v>230401600</v>
      </c>
      <c r="F130" s="12">
        <f t="shared" si="120"/>
        <v>43776304</v>
      </c>
      <c r="G130" s="12">
        <f t="shared" si="121"/>
        <v>274177904</v>
      </c>
      <c r="H130" s="12">
        <f t="shared" si="126"/>
        <v>205633428</v>
      </c>
      <c r="I130" s="12">
        <f t="shared" si="127"/>
        <v>72808008</v>
      </c>
      <c r="J130" s="2"/>
      <c r="K130" s="167" t="s">
        <v>41</v>
      </c>
      <c r="L130" s="11">
        <f t="shared" si="128"/>
        <v>213</v>
      </c>
      <c r="M130" s="12">
        <f t="shared" si="129"/>
        <v>716560</v>
      </c>
      <c r="N130" s="12">
        <f t="shared" si="122"/>
        <v>152627280</v>
      </c>
      <c r="O130" s="12">
        <f t="shared" si="130"/>
        <v>28999183.199999999</v>
      </c>
      <c r="P130" s="12">
        <f t="shared" si="131"/>
        <v>5341954.8000000007</v>
      </c>
      <c r="Q130" s="13">
        <f t="shared" si="132"/>
        <v>176284508.39999998</v>
      </c>
      <c r="R130" s="14">
        <f t="shared" si="133"/>
        <v>123399155.87999998</v>
      </c>
      <c r="S130" s="26">
        <f t="shared" si="134"/>
        <v>56857961.160000004</v>
      </c>
      <c r="T130" s="3"/>
      <c r="U130" s="2"/>
    </row>
    <row r="131" spans="1:21" ht="15.75" customHeight="1">
      <c r="A131" s="1"/>
      <c r="B131" s="159" t="s">
        <v>42</v>
      </c>
      <c r="C131" s="11">
        <f t="shared" si="123"/>
        <v>215</v>
      </c>
      <c r="D131" s="12">
        <f t="shared" si="124"/>
        <v>1102400</v>
      </c>
      <c r="E131" s="12">
        <f t="shared" si="125"/>
        <v>237016000</v>
      </c>
      <c r="F131" s="12">
        <f t="shared" si="120"/>
        <v>45033040</v>
      </c>
      <c r="G131" s="12">
        <f t="shared" si="121"/>
        <v>282049040</v>
      </c>
      <c r="H131" s="12">
        <f t="shared" si="126"/>
        <v>211536780</v>
      </c>
      <c r="I131" s="12">
        <f t="shared" si="127"/>
        <v>68544476</v>
      </c>
      <c r="J131" s="2"/>
      <c r="K131" s="167" t="s">
        <v>42</v>
      </c>
      <c r="L131" s="11">
        <f t="shared" si="128"/>
        <v>213</v>
      </c>
      <c r="M131" s="12">
        <f t="shared" si="129"/>
        <v>716560</v>
      </c>
      <c r="N131" s="12">
        <f t="shared" si="122"/>
        <v>152627280</v>
      </c>
      <c r="O131" s="12">
        <f t="shared" si="130"/>
        <v>28999183.199999999</v>
      </c>
      <c r="P131" s="12">
        <f t="shared" si="131"/>
        <v>5341954.8000000007</v>
      </c>
      <c r="Q131" s="13">
        <f t="shared" si="132"/>
        <v>176284508.39999998</v>
      </c>
      <c r="R131" s="14">
        <f t="shared" si="133"/>
        <v>123399155.87999998</v>
      </c>
      <c r="S131" s="26">
        <f t="shared" si="134"/>
        <v>52885352.520000003</v>
      </c>
      <c r="T131" s="3"/>
      <c r="U131" s="2"/>
    </row>
    <row r="132" spans="1:21" ht="15.75" customHeight="1">
      <c r="A132" s="1"/>
      <c r="B132" s="159" t="s">
        <v>43</v>
      </c>
      <c r="C132" s="11">
        <f t="shared" si="123"/>
        <v>217</v>
      </c>
      <c r="D132" s="12">
        <f t="shared" si="124"/>
        <v>1102400</v>
      </c>
      <c r="E132" s="12">
        <f t="shared" si="125"/>
        <v>239220800</v>
      </c>
      <c r="F132" s="12">
        <f t="shared" si="120"/>
        <v>45451952</v>
      </c>
      <c r="G132" s="12">
        <f t="shared" si="121"/>
        <v>284672752</v>
      </c>
      <c r="H132" s="12">
        <f t="shared" si="126"/>
        <v>213504564</v>
      </c>
      <c r="I132" s="12">
        <f t="shared" si="127"/>
        <v>70512260</v>
      </c>
      <c r="J132" s="2"/>
      <c r="K132" s="167" t="s">
        <v>43</v>
      </c>
      <c r="L132" s="11">
        <f t="shared" si="128"/>
        <v>213</v>
      </c>
      <c r="M132" s="12">
        <f t="shared" si="129"/>
        <v>716560</v>
      </c>
      <c r="N132" s="12">
        <f t="shared" si="122"/>
        <v>152627280</v>
      </c>
      <c r="O132" s="12">
        <f t="shared" si="130"/>
        <v>28999183.199999999</v>
      </c>
      <c r="P132" s="12">
        <f t="shared" si="131"/>
        <v>5341954.8000000007</v>
      </c>
      <c r="Q132" s="13">
        <f t="shared" si="132"/>
        <v>176284508.39999998</v>
      </c>
      <c r="R132" s="14">
        <f t="shared" si="133"/>
        <v>123399155.87999998</v>
      </c>
      <c r="S132" s="26">
        <f t="shared" si="134"/>
        <v>52885352.520000003</v>
      </c>
      <c r="T132" s="3"/>
      <c r="U132" s="2"/>
    </row>
    <row r="133" spans="1:21" ht="15.75" customHeight="1">
      <c r="A133" s="1"/>
      <c r="B133" s="159" t="s">
        <v>44</v>
      </c>
      <c r="C133" s="11">
        <f t="shared" si="123"/>
        <v>210</v>
      </c>
      <c r="D133" s="12">
        <f t="shared" si="124"/>
        <v>1102400</v>
      </c>
      <c r="E133" s="12">
        <f t="shared" si="125"/>
        <v>231504000</v>
      </c>
      <c r="F133" s="12">
        <f t="shared" si="120"/>
        <v>43985760</v>
      </c>
      <c r="G133" s="12">
        <f t="shared" si="121"/>
        <v>275489760</v>
      </c>
      <c r="H133" s="12">
        <f t="shared" si="126"/>
        <v>206617320</v>
      </c>
      <c r="I133" s="12">
        <f t="shared" si="127"/>
        <v>71168188</v>
      </c>
      <c r="J133" s="2"/>
      <c r="K133" s="167" t="s">
        <v>44</v>
      </c>
      <c r="L133" s="11">
        <f t="shared" si="128"/>
        <v>224</v>
      </c>
      <c r="M133" s="12">
        <f t="shared" si="129"/>
        <v>716560</v>
      </c>
      <c r="N133" s="12">
        <f t="shared" si="122"/>
        <v>160509440</v>
      </c>
      <c r="O133" s="12">
        <f t="shared" si="130"/>
        <v>30496793.600000001</v>
      </c>
      <c r="P133" s="12">
        <f t="shared" si="131"/>
        <v>5617830.4000000004</v>
      </c>
      <c r="Q133" s="13">
        <f t="shared" si="132"/>
        <v>185388403.19999999</v>
      </c>
      <c r="R133" s="14">
        <f t="shared" si="133"/>
        <v>129771882.23999998</v>
      </c>
      <c r="S133" s="26">
        <f t="shared" si="134"/>
        <v>52885352.520000003</v>
      </c>
      <c r="T133" s="3"/>
      <c r="U133" s="2"/>
    </row>
    <row r="134" spans="1:21" ht="15.75" customHeight="1">
      <c r="A134" s="1"/>
      <c r="B134" s="159" t="s">
        <v>45</v>
      </c>
      <c r="C134" s="11">
        <f t="shared" si="123"/>
        <v>213</v>
      </c>
      <c r="D134" s="12">
        <f t="shared" si="124"/>
        <v>1102400</v>
      </c>
      <c r="E134" s="12">
        <f t="shared" si="125"/>
        <v>234811200</v>
      </c>
      <c r="F134" s="12">
        <f t="shared" si="120"/>
        <v>44614128</v>
      </c>
      <c r="G134" s="12">
        <f t="shared" si="121"/>
        <v>279425328</v>
      </c>
      <c r="H134" s="12">
        <f t="shared" si="126"/>
        <v>209568996</v>
      </c>
      <c r="I134" s="12">
        <f t="shared" si="127"/>
        <v>68872440</v>
      </c>
      <c r="J134" s="2"/>
      <c r="K134" s="167" t="s">
        <v>45</v>
      </c>
      <c r="L134" s="11">
        <f t="shared" si="128"/>
        <v>213</v>
      </c>
      <c r="M134" s="12">
        <f t="shared" si="129"/>
        <v>716560</v>
      </c>
      <c r="N134" s="12">
        <f t="shared" si="122"/>
        <v>152627280</v>
      </c>
      <c r="O134" s="12">
        <f t="shared" si="130"/>
        <v>28999183.199999999</v>
      </c>
      <c r="P134" s="12">
        <f t="shared" si="131"/>
        <v>5341954.8000000007</v>
      </c>
      <c r="Q134" s="13">
        <f t="shared" si="132"/>
        <v>176284508.39999998</v>
      </c>
      <c r="R134" s="14">
        <f t="shared" si="133"/>
        <v>123399155.87999998</v>
      </c>
      <c r="S134" s="26">
        <f t="shared" si="134"/>
        <v>55616520.960000008</v>
      </c>
      <c r="T134" s="3"/>
      <c r="U134" s="2"/>
    </row>
    <row r="135" spans="1:21" ht="15.75" customHeight="1">
      <c r="A135" s="1"/>
      <c r="B135" s="159" t="s">
        <v>46</v>
      </c>
      <c r="C135" s="11">
        <f t="shared" si="123"/>
        <v>216</v>
      </c>
      <c r="D135" s="12">
        <f t="shared" si="124"/>
        <v>1102400</v>
      </c>
      <c r="E135" s="12">
        <f t="shared" si="125"/>
        <v>238118400</v>
      </c>
      <c r="F135" s="12">
        <f t="shared" si="120"/>
        <v>45242496</v>
      </c>
      <c r="G135" s="12">
        <f t="shared" si="121"/>
        <v>283360896</v>
      </c>
      <c r="H135" s="12">
        <f t="shared" si="126"/>
        <v>212520672</v>
      </c>
      <c r="I135" s="12">
        <f t="shared" si="127"/>
        <v>69856332</v>
      </c>
      <c r="J135" s="2"/>
      <c r="K135" s="167" t="s">
        <v>46</v>
      </c>
      <c r="L135" s="11">
        <f t="shared" si="128"/>
        <v>213</v>
      </c>
      <c r="M135" s="12">
        <f t="shared" si="129"/>
        <v>716560</v>
      </c>
      <c r="N135" s="12">
        <f t="shared" si="122"/>
        <v>152627280</v>
      </c>
      <c r="O135" s="12">
        <f t="shared" si="130"/>
        <v>28999183.199999999</v>
      </c>
      <c r="P135" s="12">
        <f t="shared" si="131"/>
        <v>5341954.8000000007</v>
      </c>
      <c r="Q135" s="13">
        <f t="shared" si="132"/>
        <v>176284508.39999998</v>
      </c>
      <c r="R135" s="14">
        <f t="shared" si="133"/>
        <v>123399155.87999998</v>
      </c>
      <c r="S135" s="26">
        <f t="shared" si="134"/>
        <v>52885352.520000003</v>
      </c>
      <c r="T135" s="3"/>
      <c r="U135" s="2"/>
    </row>
    <row r="136" spans="1:21" ht="15.75" customHeight="1">
      <c r="A136" s="1"/>
      <c r="B136" s="160" t="s">
        <v>47</v>
      </c>
      <c r="C136" s="11">
        <f t="shared" si="123"/>
        <v>222</v>
      </c>
      <c r="D136" s="12">
        <f t="shared" si="124"/>
        <v>1102400</v>
      </c>
      <c r="E136" s="12">
        <f t="shared" si="125"/>
        <v>244732800</v>
      </c>
      <c r="F136" s="12">
        <f t="shared" si="120"/>
        <v>46499232</v>
      </c>
      <c r="G136" s="12">
        <f t="shared" si="121"/>
        <v>291232032</v>
      </c>
      <c r="H136" s="12">
        <f t="shared" si="126"/>
        <v>218424024</v>
      </c>
      <c r="I136" s="12">
        <f t="shared" si="127"/>
        <v>70840224</v>
      </c>
      <c r="J136" s="2"/>
      <c r="K136" s="167" t="s">
        <v>47</v>
      </c>
      <c r="L136" s="11">
        <f t="shared" si="128"/>
        <v>224</v>
      </c>
      <c r="M136" s="12">
        <f t="shared" si="129"/>
        <v>716560</v>
      </c>
      <c r="N136" s="12">
        <f t="shared" si="122"/>
        <v>160509440</v>
      </c>
      <c r="O136" s="12">
        <f t="shared" si="130"/>
        <v>30496793.600000001</v>
      </c>
      <c r="P136" s="12">
        <f t="shared" si="131"/>
        <v>5617830.4000000004</v>
      </c>
      <c r="Q136" s="13">
        <f t="shared" si="132"/>
        <v>185388403.19999999</v>
      </c>
      <c r="R136" s="14">
        <f t="shared" si="133"/>
        <v>129771882.23999998</v>
      </c>
      <c r="S136" s="26">
        <f t="shared" si="134"/>
        <v>52885352.520000003</v>
      </c>
      <c r="T136" s="3"/>
      <c r="U136" s="2"/>
    </row>
    <row r="137" spans="1:21" ht="15.75" customHeight="1">
      <c r="A137" s="1"/>
      <c r="B137" s="35"/>
      <c r="C137" s="36"/>
      <c r="D137" s="37"/>
      <c r="E137" s="37"/>
      <c r="F137" s="2"/>
      <c r="G137" s="37"/>
      <c r="H137" s="2"/>
      <c r="I137" s="12">
        <f t="shared" si="127"/>
        <v>72808008</v>
      </c>
      <c r="J137" s="2"/>
      <c r="K137" s="167" t="s">
        <v>36</v>
      </c>
      <c r="L137" s="11"/>
      <c r="M137" s="12"/>
      <c r="N137" s="12"/>
      <c r="O137" s="12"/>
      <c r="P137" s="12"/>
      <c r="Q137" s="38"/>
      <c r="R137" s="39"/>
      <c r="S137" s="26">
        <f t="shared" si="134"/>
        <v>55616520.960000008</v>
      </c>
      <c r="T137" s="3"/>
      <c r="U137" s="2"/>
    </row>
    <row r="138" spans="1:21" ht="15.75" customHeight="1">
      <c r="A138" s="1"/>
      <c r="B138" s="35"/>
      <c r="C138" s="2"/>
      <c r="D138" s="37"/>
      <c r="E138" s="37"/>
      <c r="F138" s="2"/>
      <c r="G138" s="37"/>
      <c r="H138" s="2"/>
      <c r="J138" s="2"/>
      <c r="K138" s="167" t="s">
        <v>37</v>
      </c>
      <c r="L138" s="11"/>
      <c r="M138" s="12"/>
      <c r="N138" s="12"/>
      <c r="O138" s="12"/>
      <c r="P138" s="12"/>
      <c r="Q138" s="38"/>
      <c r="R138" s="39"/>
      <c r="T138" s="3"/>
      <c r="U138" s="2"/>
    </row>
    <row r="139" spans="1:21" ht="15.75" customHeight="1">
      <c r="A139" s="1"/>
      <c r="B139" s="35"/>
      <c r="C139" s="2"/>
      <c r="D139" s="37"/>
      <c r="E139" s="37"/>
      <c r="F139" s="2"/>
      <c r="G139" s="37"/>
      <c r="H139" s="2"/>
      <c r="I139" s="37"/>
      <c r="J139" s="2"/>
      <c r="K139" s="35"/>
      <c r="L139" s="36"/>
      <c r="M139" s="37"/>
      <c r="N139" s="37"/>
      <c r="O139" s="37"/>
      <c r="P139" s="37"/>
      <c r="Q139" s="36"/>
      <c r="R139" s="2"/>
      <c r="S139" s="37"/>
      <c r="T139" s="3"/>
      <c r="U139" s="2"/>
    </row>
    <row r="140" spans="1:21" ht="15.75" customHeight="1">
      <c r="A140" s="1"/>
      <c r="B140" s="361" t="str">
        <f>B121</f>
        <v>VENTAS 2023</v>
      </c>
      <c r="C140" s="362"/>
      <c r="D140" s="362"/>
      <c r="E140" s="362"/>
      <c r="F140" s="362"/>
      <c r="G140" s="362"/>
      <c r="H140" s="362"/>
      <c r="I140" s="363"/>
      <c r="J140" s="5"/>
      <c r="K140" s="364" t="str">
        <f>K121</f>
        <v>COMPRAS 2023</v>
      </c>
      <c r="L140" s="365"/>
      <c r="M140" s="365"/>
      <c r="N140" s="365"/>
      <c r="O140" s="365"/>
      <c r="P140" s="365"/>
      <c r="Q140" s="365"/>
      <c r="R140" s="365"/>
      <c r="S140" s="366"/>
      <c r="T140" s="3"/>
      <c r="U140" s="2"/>
    </row>
    <row r="141" spans="1:21" ht="15.75" customHeight="1">
      <c r="A141" s="1"/>
      <c r="B141" s="361" t="str">
        <f>B82</f>
        <v xml:space="preserve">BICICLETA DE MONTAÑA </v>
      </c>
      <c r="C141" s="362"/>
      <c r="D141" s="362"/>
      <c r="E141" s="362"/>
      <c r="F141" s="362"/>
      <c r="G141" s="362"/>
      <c r="H141" s="362"/>
      <c r="I141" s="363"/>
      <c r="J141" s="5"/>
      <c r="K141" s="364" t="str">
        <f>B141</f>
        <v xml:space="preserve">BICICLETA DE MONTAÑA </v>
      </c>
      <c r="L141" s="365"/>
      <c r="M141" s="365"/>
      <c r="N141" s="365"/>
      <c r="O141" s="365"/>
      <c r="P141" s="365"/>
      <c r="Q141" s="365"/>
      <c r="R141" s="365"/>
      <c r="S141" s="366"/>
      <c r="T141" s="6"/>
      <c r="U141" s="5"/>
    </row>
    <row r="142" spans="1:21" ht="15.75" customHeight="1">
      <c r="A142" s="1"/>
      <c r="B142" s="367" t="s">
        <v>11</v>
      </c>
      <c r="C142" s="367" t="s">
        <v>24</v>
      </c>
      <c r="D142" s="367" t="s">
        <v>25</v>
      </c>
      <c r="E142" s="367" t="s">
        <v>26</v>
      </c>
      <c r="F142" s="161" t="s">
        <v>17</v>
      </c>
      <c r="G142" s="367" t="s">
        <v>27</v>
      </c>
      <c r="H142" s="161" t="s">
        <v>28</v>
      </c>
      <c r="I142" s="161" t="s">
        <v>29</v>
      </c>
      <c r="J142" s="5"/>
      <c r="K142" s="356" t="s">
        <v>11</v>
      </c>
      <c r="L142" s="356" t="s">
        <v>24</v>
      </c>
      <c r="M142" s="356" t="s">
        <v>30</v>
      </c>
      <c r="N142" s="356" t="s">
        <v>31</v>
      </c>
      <c r="O142" s="163" t="s">
        <v>17</v>
      </c>
      <c r="P142" s="163" t="s">
        <v>32</v>
      </c>
      <c r="Q142" s="356" t="s">
        <v>33</v>
      </c>
      <c r="R142" s="163" t="s">
        <v>34</v>
      </c>
      <c r="S142" s="163" t="s">
        <v>35</v>
      </c>
      <c r="T142" s="6"/>
      <c r="U142" s="5"/>
    </row>
    <row r="143" spans="1:21" ht="15.75" customHeight="1">
      <c r="A143" s="1"/>
      <c r="B143" s="368"/>
      <c r="C143" s="368"/>
      <c r="D143" s="368"/>
      <c r="E143" s="368"/>
      <c r="F143" s="162">
        <v>0.19</v>
      </c>
      <c r="G143" s="368"/>
      <c r="H143" s="162">
        <v>0.75</v>
      </c>
      <c r="I143" s="162">
        <f>100%-H143</f>
        <v>0.25</v>
      </c>
      <c r="J143" s="5"/>
      <c r="K143" s="357"/>
      <c r="L143" s="357"/>
      <c r="M143" s="357"/>
      <c r="N143" s="357"/>
      <c r="O143" s="164">
        <v>0.19</v>
      </c>
      <c r="P143" s="165">
        <v>3.5000000000000003E-2</v>
      </c>
      <c r="Q143" s="357"/>
      <c r="R143" s="166">
        <v>0.7</v>
      </c>
      <c r="S143" s="164">
        <f>1-R143</f>
        <v>0.30000000000000004</v>
      </c>
      <c r="T143" s="6"/>
      <c r="U143" s="5"/>
    </row>
    <row r="144" spans="1:21" ht="15.75" customHeight="1">
      <c r="A144" s="1"/>
      <c r="B144" s="159" t="s">
        <v>36</v>
      </c>
      <c r="C144" s="11">
        <f>ROUNDUP(C85*(1+$C$61),0)</f>
        <v>264</v>
      </c>
      <c r="D144" s="12">
        <f>D85*(1+$D$120)</f>
        <v>579261.09090909082</v>
      </c>
      <c r="E144" s="12">
        <f>C144*D144</f>
        <v>152924927.99999997</v>
      </c>
      <c r="F144" s="12">
        <f t="shared" ref="F144:F155" si="135">E144*0.19</f>
        <v>29055736.319999993</v>
      </c>
      <c r="G144" s="12">
        <f t="shared" ref="G144:G155" si="136">E144+F144</f>
        <v>181980664.31999996</v>
      </c>
      <c r="H144" s="12">
        <f>G144*$H$6</f>
        <v>136485498.23999998</v>
      </c>
      <c r="I144" s="12"/>
      <c r="J144" s="2"/>
      <c r="K144" s="167" t="s">
        <v>36</v>
      </c>
      <c r="L144" s="11">
        <f>ROUNDUP(L85*(1+$L$61),0)</f>
        <v>268</v>
      </c>
      <c r="M144" s="12">
        <f>M85*(1+$M$120)</f>
        <v>318593.60000000003</v>
      </c>
      <c r="N144" s="12">
        <f t="shared" ref="N144:N155" si="137">L144*M144</f>
        <v>85383084.800000012</v>
      </c>
      <c r="O144" s="12">
        <f>N144*$O$6</f>
        <v>16222786.112000002</v>
      </c>
      <c r="P144" s="12">
        <f>N144*$P$6</f>
        <v>2988407.9680000008</v>
      </c>
      <c r="Q144" s="13">
        <f>N144+O144-P144</f>
        <v>98617462.944000021</v>
      </c>
      <c r="R144" s="14">
        <f>Q144*$R$6</f>
        <v>69032224.060800016</v>
      </c>
      <c r="S144" s="15"/>
      <c r="T144" s="6"/>
      <c r="U144" s="5"/>
    </row>
    <row r="145" spans="1:21" ht="15.75" customHeight="1">
      <c r="A145" s="1"/>
      <c r="B145" s="159" t="s">
        <v>37</v>
      </c>
      <c r="C145" s="11">
        <f t="shared" ref="C145:C155" si="138">ROUNDUP(C86*(1+$C$61),0)</f>
        <v>270</v>
      </c>
      <c r="D145" s="12">
        <f t="shared" ref="D145:D155" si="139">D86*(1+$D$120)</f>
        <v>579261.09090909082</v>
      </c>
      <c r="E145" s="12">
        <f t="shared" ref="E145:E155" si="140">C145*D145</f>
        <v>156400494.54545453</v>
      </c>
      <c r="F145" s="12">
        <f t="shared" si="135"/>
        <v>29716093.963636361</v>
      </c>
      <c r="G145" s="12">
        <f t="shared" si="136"/>
        <v>186116588.5090909</v>
      </c>
      <c r="H145" s="12">
        <f t="shared" ref="H145:H155" si="141">G145*$H$6</f>
        <v>139587441.38181818</v>
      </c>
      <c r="I145" s="12">
        <f t="shared" ref="I145:I156" si="142">G144*$I$6</f>
        <v>45495166.079999991</v>
      </c>
      <c r="J145" s="2"/>
      <c r="K145" s="167" t="s">
        <v>37</v>
      </c>
      <c r="L145" s="11">
        <f t="shared" ref="L145:L155" si="143">ROUNDUP(L86*(1+$L$61),0)</f>
        <v>272</v>
      </c>
      <c r="M145" s="12">
        <f t="shared" ref="M145:M155" si="144">M86*(1+$M$120)</f>
        <v>318593.60000000003</v>
      </c>
      <c r="N145" s="12">
        <f t="shared" si="137"/>
        <v>86657459.200000003</v>
      </c>
      <c r="O145" s="12">
        <f t="shared" ref="O145:O155" si="145">N145*$O$6</f>
        <v>16464917.248000002</v>
      </c>
      <c r="P145" s="12">
        <f t="shared" ref="P145:P155" si="146">N145*$P$6</f>
        <v>3033011.0720000006</v>
      </c>
      <c r="Q145" s="13">
        <f t="shared" ref="Q145:Q155" si="147">N145+O145-P145</f>
        <v>100089365.376</v>
      </c>
      <c r="R145" s="14">
        <f t="shared" ref="R145:R155" si="148">Q145*$R$6</f>
        <v>70062555.7632</v>
      </c>
      <c r="S145" s="26">
        <f t="shared" ref="S145:S156" si="149">Q144*$S$6</f>
        <v>29585238.883200012</v>
      </c>
      <c r="T145" s="3"/>
      <c r="U145" s="2"/>
    </row>
    <row r="146" spans="1:21" ht="15.75" customHeight="1">
      <c r="A146" s="1"/>
      <c r="B146" s="159" t="s">
        <v>38</v>
      </c>
      <c r="C146" s="11">
        <f t="shared" si="138"/>
        <v>266</v>
      </c>
      <c r="D146" s="12">
        <f t="shared" si="139"/>
        <v>579261.09090909082</v>
      </c>
      <c r="E146" s="12">
        <f t="shared" si="140"/>
        <v>154083450.18181816</v>
      </c>
      <c r="F146" s="12">
        <f t="shared" si="135"/>
        <v>29275855.534545451</v>
      </c>
      <c r="G146" s="12">
        <f t="shared" si="136"/>
        <v>183359305.71636361</v>
      </c>
      <c r="H146" s="12">
        <f t="shared" si="141"/>
        <v>137519479.28727269</v>
      </c>
      <c r="I146" s="12">
        <f t="shared" si="142"/>
        <v>46529147.127272725</v>
      </c>
      <c r="J146" s="2"/>
      <c r="K146" s="167" t="s">
        <v>38</v>
      </c>
      <c r="L146" s="11">
        <f t="shared" si="143"/>
        <v>266</v>
      </c>
      <c r="M146" s="12">
        <f t="shared" si="144"/>
        <v>318593.60000000003</v>
      </c>
      <c r="N146" s="12">
        <f t="shared" si="137"/>
        <v>84745897.600000009</v>
      </c>
      <c r="O146" s="12">
        <f t="shared" si="145"/>
        <v>16101720.544000002</v>
      </c>
      <c r="P146" s="12">
        <f t="shared" si="146"/>
        <v>2966106.4160000007</v>
      </c>
      <c r="Q146" s="13">
        <f t="shared" si="147"/>
        <v>97881511.728000015</v>
      </c>
      <c r="R146" s="14">
        <f t="shared" si="148"/>
        <v>68517058.209600002</v>
      </c>
      <c r="S146" s="26">
        <f t="shared" si="149"/>
        <v>30026809.612800006</v>
      </c>
      <c r="T146" s="3"/>
      <c r="U146" s="2"/>
    </row>
    <row r="147" spans="1:21" ht="15.75" customHeight="1">
      <c r="A147" s="1"/>
      <c r="B147" s="159" t="s">
        <v>39</v>
      </c>
      <c r="C147" s="11">
        <f t="shared" si="138"/>
        <v>253</v>
      </c>
      <c r="D147" s="12">
        <f t="shared" si="139"/>
        <v>579261.09090909082</v>
      </c>
      <c r="E147" s="12">
        <f t="shared" si="140"/>
        <v>146553055.99999997</v>
      </c>
      <c r="F147" s="12">
        <f t="shared" si="135"/>
        <v>27845080.639999993</v>
      </c>
      <c r="G147" s="12">
        <f t="shared" si="136"/>
        <v>174398136.63999996</v>
      </c>
      <c r="H147" s="12">
        <f t="shared" si="141"/>
        <v>130798602.47999996</v>
      </c>
      <c r="I147" s="12">
        <f t="shared" si="142"/>
        <v>45839826.429090902</v>
      </c>
      <c r="J147" s="2"/>
      <c r="K147" s="167" t="s">
        <v>39</v>
      </c>
      <c r="L147" s="11">
        <f t="shared" si="143"/>
        <v>256</v>
      </c>
      <c r="M147" s="12">
        <f t="shared" si="144"/>
        <v>318593.60000000003</v>
      </c>
      <c r="N147" s="12">
        <f t="shared" si="137"/>
        <v>81559961.600000009</v>
      </c>
      <c r="O147" s="12">
        <f t="shared" si="145"/>
        <v>15496392.704000002</v>
      </c>
      <c r="P147" s="12">
        <f t="shared" si="146"/>
        <v>2854598.6560000004</v>
      </c>
      <c r="Q147" s="13">
        <f t="shared" si="147"/>
        <v>94201755.648000002</v>
      </c>
      <c r="R147" s="14">
        <f t="shared" si="148"/>
        <v>65941228.953599997</v>
      </c>
      <c r="S147" s="26">
        <f t="shared" si="149"/>
        <v>29364453.51840001</v>
      </c>
      <c r="T147" s="3"/>
      <c r="U147" s="2"/>
    </row>
    <row r="148" spans="1:21" ht="15.75" customHeight="1">
      <c r="A148" s="1"/>
      <c r="B148" s="159" t="s">
        <v>40</v>
      </c>
      <c r="C148" s="11">
        <f t="shared" si="138"/>
        <v>278</v>
      </c>
      <c r="D148" s="12">
        <f t="shared" si="139"/>
        <v>579261.09090909082</v>
      </c>
      <c r="E148" s="12">
        <f t="shared" si="140"/>
        <v>161034583.27272725</v>
      </c>
      <c r="F148" s="12">
        <f t="shared" si="135"/>
        <v>30596570.821818177</v>
      </c>
      <c r="G148" s="12">
        <f t="shared" si="136"/>
        <v>191631154.09454542</v>
      </c>
      <c r="H148" s="12">
        <f t="shared" si="141"/>
        <v>143723365.57090908</v>
      </c>
      <c r="I148" s="12">
        <f t="shared" si="142"/>
        <v>43599534.159999989</v>
      </c>
      <c r="J148" s="2"/>
      <c r="K148" s="167" t="s">
        <v>40</v>
      </c>
      <c r="L148" s="11">
        <f t="shared" si="143"/>
        <v>282</v>
      </c>
      <c r="M148" s="12">
        <f t="shared" si="144"/>
        <v>318593.60000000003</v>
      </c>
      <c r="N148" s="12">
        <f t="shared" si="137"/>
        <v>89843395.200000003</v>
      </c>
      <c r="O148" s="12">
        <f t="shared" si="145"/>
        <v>17070245.088</v>
      </c>
      <c r="P148" s="12">
        <f t="shared" si="146"/>
        <v>3144518.8320000004</v>
      </c>
      <c r="Q148" s="13">
        <f t="shared" si="147"/>
        <v>103769121.456</v>
      </c>
      <c r="R148" s="14">
        <f t="shared" si="148"/>
        <v>72638385.019199997</v>
      </c>
      <c r="S148" s="26">
        <f t="shared" si="149"/>
        <v>28260526.694400005</v>
      </c>
      <c r="T148" s="3"/>
      <c r="U148" s="2"/>
    </row>
    <row r="149" spans="1:21" ht="15.75" customHeight="1">
      <c r="A149" s="1"/>
      <c r="B149" s="159" t="s">
        <v>41</v>
      </c>
      <c r="C149" s="11">
        <f t="shared" si="138"/>
        <v>272</v>
      </c>
      <c r="D149" s="12">
        <f t="shared" si="139"/>
        <v>579261.09090909082</v>
      </c>
      <c r="E149" s="12">
        <f t="shared" si="140"/>
        <v>157559016.72727269</v>
      </c>
      <c r="F149" s="12">
        <f t="shared" si="135"/>
        <v>29936213.178181812</v>
      </c>
      <c r="G149" s="12">
        <f t="shared" si="136"/>
        <v>187495229.90545452</v>
      </c>
      <c r="H149" s="12">
        <f t="shared" si="141"/>
        <v>140621422.42909089</v>
      </c>
      <c r="I149" s="12">
        <f t="shared" si="142"/>
        <v>47907788.523636356</v>
      </c>
      <c r="J149" s="2"/>
      <c r="K149" s="167" t="s">
        <v>41</v>
      </c>
      <c r="L149" s="11">
        <f t="shared" si="143"/>
        <v>277</v>
      </c>
      <c r="M149" s="12">
        <f t="shared" si="144"/>
        <v>318593.60000000003</v>
      </c>
      <c r="N149" s="12">
        <f t="shared" si="137"/>
        <v>88250427.200000003</v>
      </c>
      <c r="O149" s="12">
        <f t="shared" si="145"/>
        <v>16767581.168000001</v>
      </c>
      <c r="P149" s="12">
        <f t="shared" si="146"/>
        <v>3088764.9520000005</v>
      </c>
      <c r="Q149" s="13">
        <f t="shared" si="147"/>
        <v>101929243.41599999</v>
      </c>
      <c r="R149" s="14">
        <f t="shared" si="148"/>
        <v>71350470.391199991</v>
      </c>
      <c r="S149" s="26">
        <f t="shared" si="149"/>
        <v>31130736.436800003</v>
      </c>
      <c r="T149" s="3"/>
      <c r="U149" s="2"/>
    </row>
    <row r="150" spans="1:21" ht="15.75" customHeight="1">
      <c r="A150" s="1"/>
      <c r="B150" s="159" t="s">
        <v>42</v>
      </c>
      <c r="C150" s="11">
        <f t="shared" si="138"/>
        <v>284</v>
      </c>
      <c r="D150" s="12">
        <f t="shared" si="139"/>
        <v>579261.09090909082</v>
      </c>
      <c r="E150" s="12">
        <f t="shared" si="140"/>
        <v>164510149.81818178</v>
      </c>
      <c r="F150" s="12">
        <f t="shared" si="135"/>
        <v>31256928.465454537</v>
      </c>
      <c r="G150" s="12">
        <f t="shared" si="136"/>
        <v>195767078.28363633</v>
      </c>
      <c r="H150" s="12">
        <f t="shared" si="141"/>
        <v>146825308.71272725</v>
      </c>
      <c r="I150" s="12">
        <f t="shared" si="142"/>
        <v>46873807.476363629</v>
      </c>
      <c r="J150" s="2"/>
      <c r="K150" s="167" t="s">
        <v>42</v>
      </c>
      <c r="L150" s="11">
        <f t="shared" si="143"/>
        <v>288</v>
      </c>
      <c r="M150" s="12">
        <f t="shared" si="144"/>
        <v>318593.60000000003</v>
      </c>
      <c r="N150" s="12">
        <f t="shared" si="137"/>
        <v>91754956.800000012</v>
      </c>
      <c r="O150" s="12">
        <f t="shared" si="145"/>
        <v>17433441.792000003</v>
      </c>
      <c r="P150" s="12">
        <f t="shared" si="146"/>
        <v>3211423.4880000008</v>
      </c>
      <c r="Q150" s="13">
        <f t="shared" si="147"/>
        <v>105976975.104</v>
      </c>
      <c r="R150" s="14">
        <f t="shared" si="148"/>
        <v>74183882.572799996</v>
      </c>
      <c r="S150" s="26">
        <f t="shared" si="149"/>
        <v>30578773.024800003</v>
      </c>
      <c r="T150" s="3"/>
      <c r="U150" s="2"/>
    </row>
    <row r="151" spans="1:21" ht="15.75" customHeight="1">
      <c r="A151" s="1"/>
      <c r="B151" s="159" t="s">
        <v>43</v>
      </c>
      <c r="C151" s="11">
        <f t="shared" si="138"/>
        <v>272</v>
      </c>
      <c r="D151" s="12">
        <f t="shared" si="139"/>
        <v>579261.09090909082</v>
      </c>
      <c r="E151" s="12">
        <f t="shared" si="140"/>
        <v>157559016.72727269</v>
      </c>
      <c r="F151" s="12">
        <f t="shared" si="135"/>
        <v>29936213.178181812</v>
      </c>
      <c r="G151" s="12">
        <f t="shared" si="136"/>
        <v>187495229.90545452</v>
      </c>
      <c r="H151" s="12">
        <f t="shared" si="141"/>
        <v>140621422.42909089</v>
      </c>
      <c r="I151" s="12">
        <f t="shared" si="142"/>
        <v>48941769.570909083</v>
      </c>
      <c r="J151" s="2"/>
      <c r="K151" s="167" t="s">
        <v>43</v>
      </c>
      <c r="L151" s="11">
        <f t="shared" si="143"/>
        <v>277</v>
      </c>
      <c r="M151" s="12">
        <f t="shared" si="144"/>
        <v>318593.60000000003</v>
      </c>
      <c r="N151" s="12">
        <f t="shared" si="137"/>
        <v>88250427.200000003</v>
      </c>
      <c r="O151" s="12">
        <f t="shared" si="145"/>
        <v>16767581.168000001</v>
      </c>
      <c r="P151" s="12">
        <f t="shared" si="146"/>
        <v>3088764.9520000005</v>
      </c>
      <c r="Q151" s="13">
        <f t="shared" si="147"/>
        <v>101929243.41599999</v>
      </c>
      <c r="R151" s="14">
        <f t="shared" si="148"/>
        <v>71350470.391199991</v>
      </c>
      <c r="S151" s="26">
        <f t="shared" si="149"/>
        <v>31793092.531200007</v>
      </c>
      <c r="T151" s="3"/>
      <c r="U151" s="2"/>
    </row>
    <row r="152" spans="1:21" ht="15.75" customHeight="1">
      <c r="A152" s="1"/>
      <c r="B152" s="159" t="s">
        <v>44</v>
      </c>
      <c r="C152" s="11">
        <f t="shared" si="138"/>
        <v>253</v>
      </c>
      <c r="D152" s="12">
        <f t="shared" si="139"/>
        <v>579261.09090909082</v>
      </c>
      <c r="E152" s="12">
        <f t="shared" si="140"/>
        <v>146553055.99999997</v>
      </c>
      <c r="F152" s="12">
        <f t="shared" si="135"/>
        <v>27845080.639999993</v>
      </c>
      <c r="G152" s="12">
        <f t="shared" si="136"/>
        <v>174398136.63999996</v>
      </c>
      <c r="H152" s="12">
        <f t="shared" si="141"/>
        <v>130798602.47999996</v>
      </c>
      <c r="I152" s="12">
        <f t="shared" si="142"/>
        <v>46873807.476363629</v>
      </c>
      <c r="J152" s="2"/>
      <c r="K152" s="167" t="s">
        <v>44</v>
      </c>
      <c r="L152" s="11">
        <f t="shared" si="143"/>
        <v>256</v>
      </c>
      <c r="M152" s="12">
        <f t="shared" si="144"/>
        <v>318593.60000000003</v>
      </c>
      <c r="N152" s="12">
        <f t="shared" si="137"/>
        <v>81559961.600000009</v>
      </c>
      <c r="O152" s="12">
        <f t="shared" si="145"/>
        <v>15496392.704000002</v>
      </c>
      <c r="P152" s="12">
        <f t="shared" si="146"/>
        <v>2854598.6560000004</v>
      </c>
      <c r="Q152" s="13">
        <f t="shared" si="147"/>
        <v>94201755.648000002</v>
      </c>
      <c r="R152" s="14">
        <f t="shared" si="148"/>
        <v>65941228.953599997</v>
      </c>
      <c r="S152" s="26">
        <f t="shared" si="149"/>
        <v>30578773.024800003</v>
      </c>
      <c r="T152" s="3"/>
      <c r="U152" s="2"/>
    </row>
    <row r="153" spans="1:21" ht="15.75" customHeight="1">
      <c r="A153" s="1"/>
      <c r="B153" s="159" t="s">
        <v>45</v>
      </c>
      <c r="C153" s="11">
        <f t="shared" si="138"/>
        <v>276</v>
      </c>
      <c r="D153" s="12">
        <f t="shared" si="139"/>
        <v>579261.09090909082</v>
      </c>
      <c r="E153" s="12">
        <f t="shared" si="140"/>
        <v>159876061.09090906</v>
      </c>
      <c r="F153" s="12">
        <f t="shared" si="135"/>
        <v>30376451.607272722</v>
      </c>
      <c r="G153" s="12">
        <f t="shared" si="136"/>
        <v>190252512.69818178</v>
      </c>
      <c r="H153" s="12">
        <f t="shared" si="141"/>
        <v>142689384.52363634</v>
      </c>
      <c r="I153" s="12">
        <f t="shared" si="142"/>
        <v>43599534.159999989</v>
      </c>
      <c r="J153" s="2"/>
      <c r="K153" s="167" t="s">
        <v>45</v>
      </c>
      <c r="L153" s="11">
        <f t="shared" si="143"/>
        <v>277</v>
      </c>
      <c r="M153" s="12">
        <f t="shared" si="144"/>
        <v>318593.60000000003</v>
      </c>
      <c r="N153" s="12">
        <f t="shared" si="137"/>
        <v>88250427.200000003</v>
      </c>
      <c r="O153" s="12">
        <f t="shared" si="145"/>
        <v>16767581.168000001</v>
      </c>
      <c r="P153" s="12">
        <f t="shared" si="146"/>
        <v>3088764.9520000005</v>
      </c>
      <c r="Q153" s="13">
        <f t="shared" si="147"/>
        <v>101929243.41599999</v>
      </c>
      <c r="R153" s="14">
        <f t="shared" si="148"/>
        <v>71350470.391199991</v>
      </c>
      <c r="S153" s="26">
        <f t="shared" si="149"/>
        <v>28260526.694400005</v>
      </c>
      <c r="T153" s="3"/>
      <c r="U153" s="2"/>
    </row>
    <row r="154" spans="1:21" ht="15.75" customHeight="1">
      <c r="A154" s="1"/>
      <c r="B154" s="159" t="s">
        <v>46</v>
      </c>
      <c r="C154" s="11">
        <f t="shared" si="138"/>
        <v>264</v>
      </c>
      <c r="D154" s="12">
        <f t="shared" si="139"/>
        <v>579261.09090909082</v>
      </c>
      <c r="E154" s="12">
        <f t="shared" si="140"/>
        <v>152924927.99999997</v>
      </c>
      <c r="F154" s="12">
        <f t="shared" si="135"/>
        <v>29055736.319999993</v>
      </c>
      <c r="G154" s="12">
        <f t="shared" si="136"/>
        <v>181980664.31999996</v>
      </c>
      <c r="H154" s="12">
        <f t="shared" si="141"/>
        <v>136485498.23999998</v>
      </c>
      <c r="I154" s="12">
        <f t="shared" si="142"/>
        <v>47563128.174545445</v>
      </c>
      <c r="J154" s="2"/>
      <c r="K154" s="167" t="s">
        <v>46</v>
      </c>
      <c r="L154" s="11">
        <f t="shared" si="143"/>
        <v>266</v>
      </c>
      <c r="M154" s="12">
        <f t="shared" si="144"/>
        <v>318593.60000000003</v>
      </c>
      <c r="N154" s="12">
        <f t="shared" si="137"/>
        <v>84745897.600000009</v>
      </c>
      <c r="O154" s="12">
        <f t="shared" si="145"/>
        <v>16101720.544000002</v>
      </c>
      <c r="P154" s="12">
        <f t="shared" si="146"/>
        <v>2966106.4160000007</v>
      </c>
      <c r="Q154" s="13">
        <f t="shared" si="147"/>
        <v>97881511.728000015</v>
      </c>
      <c r="R154" s="14">
        <f t="shared" si="148"/>
        <v>68517058.209600002</v>
      </c>
      <c r="S154" s="26">
        <f t="shared" si="149"/>
        <v>30578773.024800003</v>
      </c>
      <c r="T154" s="3"/>
      <c r="U154" s="2"/>
    </row>
    <row r="155" spans="1:21" ht="15.75" customHeight="1">
      <c r="A155" s="1"/>
      <c r="B155" s="160" t="s">
        <v>47</v>
      </c>
      <c r="C155" s="11">
        <f t="shared" si="138"/>
        <v>306</v>
      </c>
      <c r="D155" s="12">
        <f t="shared" si="139"/>
        <v>579261.09090909082</v>
      </c>
      <c r="E155" s="12">
        <f t="shared" si="140"/>
        <v>177253893.81818178</v>
      </c>
      <c r="F155" s="12">
        <f t="shared" si="135"/>
        <v>33678239.825454541</v>
      </c>
      <c r="G155" s="12">
        <f t="shared" si="136"/>
        <v>210932133.64363632</v>
      </c>
      <c r="H155" s="12">
        <f t="shared" si="141"/>
        <v>158199100.23272723</v>
      </c>
      <c r="I155" s="12">
        <f t="shared" si="142"/>
        <v>45495166.079999991</v>
      </c>
      <c r="J155" s="2"/>
      <c r="K155" s="167" t="s">
        <v>47</v>
      </c>
      <c r="L155" s="11">
        <f t="shared" si="143"/>
        <v>308</v>
      </c>
      <c r="M155" s="12">
        <f t="shared" si="144"/>
        <v>318593.60000000003</v>
      </c>
      <c r="N155" s="12">
        <f t="shared" si="137"/>
        <v>98126828.800000012</v>
      </c>
      <c r="O155" s="12">
        <f t="shared" si="145"/>
        <v>18644097.472000003</v>
      </c>
      <c r="P155" s="12">
        <f t="shared" si="146"/>
        <v>3434439.0080000008</v>
      </c>
      <c r="Q155" s="13">
        <f t="shared" si="147"/>
        <v>113336487.26400001</v>
      </c>
      <c r="R155" s="14">
        <f t="shared" si="148"/>
        <v>79335541.084800005</v>
      </c>
      <c r="S155" s="26">
        <f t="shared" si="149"/>
        <v>29364453.51840001</v>
      </c>
      <c r="T155" s="3"/>
      <c r="U155" s="2"/>
    </row>
    <row r="156" spans="1:21" ht="15.75" customHeight="1">
      <c r="A156" s="1"/>
      <c r="B156" s="35"/>
      <c r="C156" s="36"/>
      <c r="D156" s="37"/>
      <c r="E156" s="37"/>
      <c r="F156" s="2"/>
      <c r="G156" s="37"/>
      <c r="H156" s="2"/>
      <c r="I156" s="12">
        <f t="shared" si="142"/>
        <v>52733033.410909079</v>
      </c>
      <c r="J156" s="2"/>
      <c r="K156" s="167" t="s">
        <v>36</v>
      </c>
      <c r="L156" s="11"/>
      <c r="M156" s="12"/>
      <c r="N156" s="12"/>
      <c r="O156" s="12"/>
      <c r="P156" s="12"/>
      <c r="Q156" s="38"/>
      <c r="R156" s="39"/>
      <c r="S156" s="26">
        <f t="shared" si="149"/>
        <v>34000946.179200009</v>
      </c>
      <c r="T156" s="3"/>
      <c r="U156" s="2"/>
    </row>
    <row r="157" spans="1:21" ht="15.75" customHeight="1">
      <c r="A157" s="1"/>
      <c r="B157" s="35"/>
      <c r="C157" s="2"/>
      <c r="D157" s="37"/>
      <c r="E157" s="37"/>
      <c r="F157" s="2"/>
      <c r="G157" s="37"/>
      <c r="H157" s="2"/>
      <c r="J157" s="2"/>
      <c r="K157" s="167" t="s">
        <v>37</v>
      </c>
      <c r="L157" s="11"/>
      <c r="M157" s="12"/>
      <c r="N157" s="12"/>
      <c r="O157" s="12"/>
      <c r="P157" s="12"/>
      <c r="Q157" s="38"/>
      <c r="R157" s="39"/>
      <c r="T157" s="3"/>
      <c r="U157" s="2"/>
    </row>
    <row r="158" spans="1:21" ht="15.75" customHeight="1">
      <c r="A158" s="1"/>
      <c r="B158" s="35"/>
      <c r="C158" s="2"/>
      <c r="D158" s="37"/>
      <c r="E158" s="37"/>
      <c r="F158" s="2"/>
      <c r="G158" s="37"/>
      <c r="H158" s="2"/>
      <c r="I158" s="37"/>
      <c r="J158" s="2"/>
      <c r="K158" s="35"/>
      <c r="L158" s="36"/>
      <c r="M158" s="37"/>
      <c r="N158" s="37"/>
      <c r="O158" s="37"/>
      <c r="P158" s="37"/>
      <c r="Q158" s="36"/>
      <c r="R158" s="2"/>
      <c r="S158" s="37"/>
      <c r="T158" s="3"/>
      <c r="U158" s="2"/>
    </row>
    <row r="159" spans="1:21" ht="15.75" customHeight="1">
      <c r="A159" s="1"/>
      <c r="B159" s="361" t="str">
        <f>B140</f>
        <v>VENTAS 2023</v>
      </c>
      <c r="C159" s="362"/>
      <c r="D159" s="362"/>
      <c r="E159" s="362"/>
      <c r="F159" s="362"/>
      <c r="G159" s="362"/>
      <c r="H159" s="362"/>
      <c r="I159" s="363"/>
      <c r="J159" s="5"/>
      <c r="K159" s="364" t="str">
        <f>K140</f>
        <v>COMPRAS 2023</v>
      </c>
      <c r="L159" s="365"/>
      <c r="M159" s="365"/>
      <c r="N159" s="365"/>
      <c r="O159" s="365"/>
      <c r="P159" s="365"/>
      <c r="Q159" s="365"/>
      <c r="R159" s="365"/>
      <c r="S159" s="366"/>
      <c r="T159" s="3"/>
      <c r="U159" s="2"/>
    </row>
    <row r="160" spans="1:21" ht="15.75" customHeight="1">
      <c r="A160" s="1"/>
      <c r="B160" s="361" t="str">
        <f>B101</f>
        <v xml:space="preserve">BICLICLETA EXPLORER </v>
      </c>
      <c r="C160" s="362"/>
      <c r="D160" s="362"/>
      <c r="E160" s="362"/>
      <c r="F160" s="362"/>
      <c r="G160" s="362"/>
      <c r="H160" s="362"/>
      <c r="I160" s="363"/>
      <c r="J160" s="5"/>
      <c r="K160" s="364" t="str">
        <f>B160</f>
        <v xml:space="preserve">BICLICLETA EXPLORER </v>
      </c>
      <c r="L160" s="365"/>
      <c r="M160" s="365"/>
      <c r="N160" s="365"/>
      <c r="O160" s="365"/>
      <c r="P160" s="365"/>
      <c r="Q160" s="365"/>
      <c r="R160" s="365"/>
      <c r="S160" s="366"/>
      <c r="T160" s="3"/>
      <c r="U160" s="2"/>
    </row>
    <row r="161" spans="1:21" ht="15.75" customHeight="1">
      <c r="A161" s="1"/>
      <c r="B161" s="367" t="s">
        <v>11</v>
      </c>
      <c r="C161" s="367" t="s">
        <v>24</v>
      </c>
      <c r="D161" s="367" t="s">
        <v>25</v>
      </c>
      <c r="E161" s="367" t="s">
        <v>26</v>
      </c>
      <c r="F161" s="161" t="s">
        <v>17</v>
      </c>
      <c r="G161" s="367" t="s">
        <v>27</v>
      </c>
      <c r="H161" s="161" t="s">
        <v>28</v>
      </c>
      <c r="I161" s="161" t="s">
        <v>29</v>
      </c>
      <c r="J161" s="5"/>
      <c r="K161" s="356" t="s">
        <v>11</v>
      </c>
      <c r="L161" s="356" t="s">
        <v>24</v>
      </c>
      <c r="M161" s="356" t="s">
        <v>30</v>
      </c>
      <c r="N161" s="356" t="s">
        <v>31</v>
      </c>
      <c r="O161" s="163" t="s">
        <v>17</v>
      </c>
      <c r="P161" s="163" t="s">
        <v>32</v>
      </c>
      <c r="Q161" s="356" t="s">
        <v>33</v>
      </c>
      <c r="R161" s="163" t="s">
        <v>34</v>
      </c>
      <c r="S161" s="163" t="s">
        <v>35</v>
      </c>
      <c r="T161" s="6"/>
      <c r="U161" s="5"/>
    </row>
    <row r="162" spans="1:21" ht="15.75" customHeight="1">
      <c r="A162" s="1"/>
      <c r="B162" s="368"/>
      <c r="C162" s="368"/>
      <c r="D162" s="368"/>
      <c r="E162" s="368"/>
      <c r="F162" s="162">
        <v>0.19</v>
      </c>
      <c r="G162" s="368"/>
      <c r="H162" s="162">
        <v>0.75</v>
      </c>
      <c r="I162" s="162">
        <f>100%-H162</f>
        <v>0.25</v>
      </c>
      <c r="J162" s="5"/>
      <c r="K162" s="357"/>
      <c r="L162" s="357"/>
      <c r="M162" s="357"/>
      <c r="N162" s="357"/>
      <c r="O162" s="164">
        <v>0.19</v>
      </c>
      <c r="P162" s="165">
        <v>3.5000000000000003E-2</v>
      </c>
      <c r="Q162" s="357"/>
      <c r="R162" s="166">
        <v>0.7</v>
      </c>
      <c r="S162" s="164">
        <f>1-R162</f>
        <v>0.30000000000000004</v>
      </c>
      <c r="T162" s="6"/>
      <c r="U162" s="5"/>
    </row>
    <row r="163" spans="1:21" ht="15.75" customHeight="1">
      <c r="A163" s="1"/>
      <c r="B163" s="159" t="s">
        <v>36</v>
      </c>
      <c r="C163" s="11">
        <f>ROUNDUP(C104*(1+$C$61),0)</f>
        <v>96</v>
      </c>
      <c r="D163" s="12">
        <f>D104*(1+$D$120)</f>
        <v>1171300</v>
      </c>
      <c r="E163" s="12">
        <f>C163*D163</f>
        <v>112444800</v>
      </c>
      <c r="F163" s="12">
        <f>E163*$F$44</f>
        <v>21364512</v>
      </c>
      <c r="G163" s="12">
        <f t="shared" ref="G163:G174" si="150">E163+F163</f>
        <v>133809312</v>
      </c>
      <c r="H163" s="12">
        <f>G163*$H$6</f>
        <v>100356984</v>
      </c>
      <c r="I163" s="12"/>
      <c r="J163" s="2"/>
      <c r="K163" s="167" t="s">
        <v>36</v>
      </c>
      <c r="L163" s="11">
        <f>ROUNDUP(L104*(1+$L$61),0)</f>
        <v>100</v>
      </c>
      <c r="M163" s="12">
        <f>M104*(1+$M$120)</f>
        <v>843336</v>
      </c>
      <c r="N163" s="12">
        <f t="shared" ref="N163:N174" si="151">L163*M163</f>
        <v>84333600</v>
      </c>
      <c r="O163" s="12">
        <f>N163*$O$6</f>
        <v>16023384</v>
      </c>
      <c r="P163" s="12">
        <f>N163*$P$6</f>
        <v>2951676.0000000005</v>
      </c>
      <c r="Q163" s="13">
        <f>N163+O163-P163</f>
        <v>97405308</v>
      </c>
      <c r="R163" s="14">
        <f>Q163*$R$6</f>
        <v>68183715.599999994</v>
      </c>
      <c r="S163" s="15"/>
      <c r="T163" s="6"/>
      <c r="U163" s="5"/>
    </row>
    <row r="164" spans="1:21" ht="15.75" customHeight="1">
      <c r="A164" s="1"/>
      <c r="B164" s="159" t="s">
        <v>37</v>
      </c>
      <c r="C164" s="11">
        <f t="shared" ref="C164:C174" si="152">ROUNDUP(C105*(1+$C$61),0)</f>
        <v>93</v>
      </c>
      <c r="D164" s="12">
        <f t="shared" ref="D164:D174" si="153">D105*(1+$D$120)</f>
        <v>1171300</v>
      </c>
      <c r="E164" s="12">
        <f t="shared" ref="E164:E174" si="154">C164*D164</f>
        <v>108930900</v>
      </c>
      <c r="F164" s="12">
        <f t="shared" ref="F164:F174" si="155">E164*$F$44</f>
        <v>20696871</v>
      </c>
      <c r="G164" s="12">
        <f t="shared" si="150"/>
        <v>129627771</v>
      </c>
      <c r="H164" s="12">
        <f t="shared" ref="H164:H174" si="156">G164*$H$6</f>
        <v>97220828.25</v>
      </c>
      <c r="I164" s="12">
        <f t="shared" ref="I164:I175" si="157">G163*$I$6</f>
        <v>33452328</v>
      </c>
      <c r="J164" s="2"/>
      <c r="K164" s="167" t="s">
        <v>37</v>
      </c>
      <c r="L164" s="11">
        <f t="shared" ref="L164:L174" si="158">ROUNDUP(L105*(1+$L$61),0)</f>
        <v>97</v>
      </c>
      <c r="M164" s="12">
        <f t="shared" ref="M164:M174" si="159">M105*(1+$M$120)</f>
        <v>843336</v>
      </c>
      <c r="N164" s="12">
        <f t="shared" si="151"/>
        <v>81803592</v>
      </c>
      <c r="O164" s="12">
        <f t="shared" ref="O164:O174" si="160">N164*$O$6</f>
        <v>15542682.48</v>
      </c>
      <c r="P164" s="12">
        <f t="shared" ref="P164:P174" si="161">N164*$P$6</f>
        <v>2863125.72</v>
      </c>
      <c r="Q164" s="13">
        <f t="shared" ref="Q164:Q174" si="162">N164+O164-P164</f>
        <v>94483148.760000005</v>
      </c>
      <c r="R164" s="14">
        <f t="shared" ref="R164:R174" si="163">Q164*$R$6</f>
        <v>66138204.131999999</v>
      </c>
      <c r="S164" s="26">
        <f t="shared" ref="S164:S175" si="164">Q163*$S$6</f>
        <v>29221592.400000006</v>
      </c>
      <c r="T164" s="6"/>
      <c r="U164" s="5"/>
    </row>
    <row r="165" spans="1:21" ht="15.75" customHeight="1">
      <c r="A165" s="1"/>
      <c r="B165" s="159" t="s">
        <v>38</v>
      </c>
      <c r="C165" s="11">
        <f t="shared" si="152"/>
        <v>98</v>
      </c>
      <c r="D165" s="12">
        <f t="shared" si="153"/>
        <v>1171300</v>
      </c>
      <c r="E165" s="12">
        <f t="shared" si="154"/>
        <v>114787400</v>
      </c>
      <c r="F165" s="12">
        <f t="shared" si="155"/>
        <v>21809606</v>
      </c>
      <c r="G165" s="12">
        <f t="shared" si="150"/>
        <v>136597006</v>
      </c>
      <c r="H165" s="12">
        <f t="shared" si="156"/>
        <v>102447754.5</v>
      </c>
      <c r="I165" s="12">
        <f t="shared" si="157"/>
        <v>32406942.75</v>
      </c>
      <c r="J165" s="2"/>
      <c r="K165" s="167" t="s">
        <v>38</v>
      </c>
      <c r="L165" s="11">
        <f t="shared" si="158"/>
        <v>94</v>
      </c>
      <c r="M165" s="12">
        <f t="shared" si="159"/>
        <v>843336</v>
      </c>
      <c r="N165" s="12">
        <f t="shared" si="151"/>
        <v>79273584</v>
      </c>
      <c r="O165" s="12">
        <f t="shared" si="160"/>
        <v>15061980.960000001</v>
      </c>
      <c r="P165" s="12">
        <f t="shared" si="161"/>
        <v>2774575.4400000004</v>
      </c>
      <c r="Q165" s="13">
        <f t="shared" si="162"/>
        <v>91560989.520000011</v>
      </c>
      <c r="R165" s="14">
        <f t="shared" si="163"/>
        <v>64092692.664000005</v>
      </c>
      <c r="S165" s="26">
        <f t="shared" si="164"/>
        <v>28344944.628000006</v>
      </c>
      <c r="T165" s="3"/>
      <c r="U165" s="2"/>
    </row>
    <row r="166" spans="1:21" ht="15.75" customHeight="1">
      <c r="A166" s="1"/>
      <c r="B166" s="159" t="s">
        <v>39</v>
      </c>
      <c r="C166" s="11">
        <f t="shared" si="152"/>
        <v>100</v>
      </c>
      <c r="D166" s="12">
        <f t="shared" si="153"/>
        <v>1171300</v>
      </c>
      <c r="E166" s="12">
        <f t="shared" si="154"/>
        <v>117130000</v>
      </c>
      <c r="F166" s="12">
        <f t="shared" si="155"/>
        <v>22254700</v>
      </c>
      <c r="G166" s="12">
        <f t="shared" si="150"/>
        <v>139384700</v>
      </c>
      <c r="H166" s="12">
        <f t="shared" si="156"/>
        <v>104538525</v>
      </c>
      <c r="I166" s="12">
        <f t="shared" si="157"/>
        <v>34149251.5</v>
      </c>
      <c r="J166" s="2"/>
      <c r="K166" s="167" t="s">
        <v>39</v>
      </c>
      <c r="L166" s="11">
        <f t="shared" si="158"/>
        <v>96</v>
      </c>
      <c r="M166" s="12">
        <f t="shared" si="159"/>
        <v>843336</v>
      </c>
      <c r="N166" s="12">
        <f t="shared" si="151"/>
        <v>80960256</v>
      </c>
      <c r="O166" s="12">
        <f t="shared" si="160"/>
        <v>15382448.640000001</v>
      </c>
      <c r="P166" s="12">
        <f t="shared" si="161"/>
        <v>2833608.9600000004</v>
      </c>
      <c r="Q166" s="13">
        <f t="shared" si="162"/>
        <v>93509095.680000007</v>
      </c>
      <c r="R166" s="14">
        <f t="shared" si="163"/>
        <v>65456366.976000004</v>
      </c>
      <c r="S166" s="26">
        <f t="shared" si="164"/>
        <v>27468296.856000006</v>
      </c>
      <c r="T166" s="3"/>
      <c r="U166" s="2"/>
    </row>
    <row r="167" spans="1:21" ht="15.75" customHeight="1">
      <c r="A167" s="1"/>
      <c r="B167" s="159" t="s">
        <v>40</v>
      </c>
      <c r="C167" s="11">
        <f t="shared" si="152"/>
        <v>96</v>
      </c>
      <c r="D167" s="12">
        <f t="shared" si="153"/>
        <v>1171300</v>
      </c>
      <c r="E167" s="12">
        <f t="shared" si="154"/>
        <v>112444800</v>
      </c>
      <c r="F167" s="12">
        <f t="shared" si="155"/>
        <v>21364512</v>
      </c>
      <c r="G167" s="12">
        <f t="shared" si="150"/>
        <v>133809312</v>
      </c>
      <c r="H167" s="12">
        <f t="shared" si="156"/>
        <v>100356984</v>
      </c>
      <c r="I167" s="12">
        <f t="shared" si="157"/>
        <v>34846175</v>
      </c>
      <c r="J167" s="2"/>
      <c r="K167" s="167" t="s">
        <v>40</v>
      </c>
      <c r="L167" s="11">
        <f t="shared" si="158"/>
        <v>101</v>
      </c>
      <c r="M167" s="12">
        <f t="shared" si="159"/>
        <v>843336</v>
      </c>
      <c r="N167" s="12">
        <f t="shared" si="151"/>
        <v>85176936</v>
      </c>
      <c r="O167" s="12">
        <f t="shared" si="160"/>
        <v>16183617.84</v>
      </c>
      <c r="P167" s="12">
        <f t="shared" si="161"/>
        <v>2981192.7600000002</v>
      </c>
      <c r="Q167" s="13">
        <f t="shared" si="162"/>
        <v>98379361.079999998</v>
      </c>
      <c r="R167" s="14">
        <f t="shared" si="163"/>
        <v>68865552.755999997</v>
      </c>
      <c r="S167" s="26">
        <f t="shared" si="164"/>
        <v>28052728.704000007</v>
      </c>
      <c r="T167" s="3"/>
      <c r="U167" s="2"/>
    </row>
    <row r="168" spans="1:21" ht="15.75" customHeight="1">
      <c r="A168" s="1"/>
      <c r="B168" s="159" t="s">
        <v>41</v>
      </c>
      <c r="C168" s="11">
        <f t="shared" si="152"/>
        <v>95</v>
      </c>
      <c r="D168" s="12">
        <f t="shared" si="153"/>
        <v>1171300</v>
      </c>
      <c r="E168" s="12">
        <f t="shared" si="154"/>
        <v>111273500</v>
      </c>
      <c r="F168" s="12">
        <f t="shared" si="155"/>
        <v>21141965</v>
      </c>
      <c r="G168" s="12">
        <f t="shared" si="150"/>
        <v>132415465</v>
      </c>
      <c r="H168" s="12">
        <f t="shared" si="156"/>
        <v>99311598.75</v>
      </c>
      <c r="I168" s="12">
        <f t="shared" si="157"/>
        <v>33452328</v>
      </c>
      <c r="J168" s="2"/>
      <c r="K168" s="167" t="s">
        <v>41</v>
      </c>
      <c r="L168" s="11">
        <f t="shared" si="158"/>
        <v>96</v>
      </c>
      <c r="M168" s="12">
        <f t="shared" si="159"/>
        <v>843336</v>
      </c>
      <c r="N168" s="12">
        <f t="shared" si="151"/>
        <v>80960256</v>
      </c>
      <c r="O168" s="12">
        <f t="shared" si="160"/>
        <v>15382448.640000001</v>
      </c>
      <c r="P168" s="12">
        <f t="shared" si="161"/>
        <v>2833608.9600000004</v>
      </c>
      <c r="Q168" s="13">
        <f t="shared" si="162"/>
        <v>93509095.680000007</v>
      </c>
      <c r="R168" s="14">
        <f t="shared" si="163"/>
        <v>65456366.976000004</v>
      </c>
      <c r="S168" s="26">
        <f t="shared" si="164"/>
        <v>29513808.324000005</v>
      </c>
      <c r="T168" s="3"/>
      <c r="U168" s="2"/>
    </row>
    <row r="169" spans="1:21" ht="15.75" customHeight="1">
      <c r="A169" s="1"/>
      <c r="B169" s="159" t="s">
        <v>42</v>
      </c>
      <c r="C169" s="11">
        <f t="shared" si="152"/>
        <v>100</v>
      </c>
      <c r="D169" s="12">
        <f t="shared" si="153"/>
        <v>1171300</v>
      </c>
      <c r="E169" s="12">
        <f t="shared" si="154"/>
        <v>117130000</v>
      </c>
      <c r="F169" s="12">
        <f t="shared" si="155"/>
        <v>22254700</v>
      </c>
      <c r="G169" s="12">
        <f t="shared" si="150"/>
        <v>139384700</v>
      </c>
      <c r="H169" s="12">
        <f t="shared" si="156"/>
        <v>104538525</v>
      </c>
      <c r="I169" s="12">
        <f t="shared" si="157"/>
        <v>33103866.25</v>
      </c>
      <c r="J169" s="2"/>
      <c r="K169" s="167" t="s">
        <v>42</v>
      </c>
      <c r="L169" s="11">
        <f t="shared" si="158"/>
        <v>96</v>
      </c>
      <c r="M169" s="12">
        <f t="shared" si="159"/>
        <v>843336</v>
      </c>
      <c r="N169" s="12">
        <f t="shared" si="151"/>
        <v>80960256</v>
      </c>
      <c r="O169" s="12">
        <f t="shared" si="160"/>
        <v>15382448.640000001</v>
      </c>
      <c r="P169" s="12">
        <f t="shared" si="161"/>
        <v>2833608.9600000004</v>
      </c>
      <c r="Q169" s="13">
        <f t="shared" si="162"/>
        <v>93509095.680000007</v>
      </c>
      <c r="R169" s="14">
        <f t="shared" si="163"/>
        <v>65456366.976000004</v>
      </c>
      <c r="S169" s="26">
        <f t="shared" si="164"/>
        <v>28052728.704000007</v>
      </c>
      <c r="T169" s="3"/>
      <c r="U169" s="2"/>
    </row>
    <row r="170" spans="1:21" ht="15.75" customHeight="1">
      <c r="A170" s="1"/>
      <c r="B170" s="159" t="s">
        <v>43</v>
      </c>
      <c r="C170" s="11">
        <f t="shared" si="152"/>
        <v>98</v>
      </c>
      <c r="D170" s="12">
        <f t="shared" si="153"/>
        <v>1171300</v>
      </c>
      <c r="E170" s="12">
        <f t="shared" si="154"/>
        <v>114787400</v>
      </c>
      <c r="F170" s="12">
        <f t="shared" si="155"/>
        <v>21809606</v>
      </c>
      <c r="G170" s="12">
        <f t="shared" si="150"/>
        <v>136597006</v>
      </c>
      <c r="H170" s="12">
        <f t="shared" si="156"/>
        <v>102447754.5</v>
      </c>
      <c r="I170" s="12">
        <f t="shared" si="157"/>
        <v>34846175</v>
      </c>
      <c r="J170" s="2"/>
      <c r="K170" s="167" t="s">
        <v>43</v>
      </c>
      <c r="L170" s="11">
        <f t="shared" si="158"/>
        <v>102</v>
      </c>
      <c r="M170" s="12">
        <f t="shared" si="159"/>
        <v>843336</v>
      </c>
      <c r="N170" s="12">
        <f t="shared" si="151"/>
        <v>86020272</v>
      </c>
      <c r="O170" s="12">
        <f t="shared" si="160"/>
        <v>16343851.68</v>
      </c>
      <c r="P170" s="12">
        <f t="shared" si="161"/>
        <v>3010709.5200000005</v>
      </c>
      <c r="Q170" s="13">
        <f t="shared" si="162"/>
        <v>99353414.160000011</v>
      </c>
      <c r="R170" s="14">
        <f t="shared" si="163"/>
        <v>69547389.912</v>
      </c>
      <c r="S170" s="26">
        <f t="shared" si="164"/>
        <v>28052728.704000007</v>
      </c>
      <c r="T170" s="3"/>
      <c r="U170" s="2"/>
    </row>
    <row r="171" spans="1:21" ht="15.75" customHeight="1">
      <c r="A171" s="1"/>
      <c r="B171" s="159" t="s">
        <v>44</v>
      </c>
      <c r="C171" s="11">
        <f t="shared" si="152"/>
        <v>94</v>
      </c>
      <c r="D171" s="12">
        <f t="shared" si="153"/>
        <v>1171300</v>
      </c>
      <c r="E171" s="12">
        <f t="shared" si="154"/>
        <v>110102200</v>
      </c>
      <c r="F171" s="12">
        <f t="shared" si="155"/>
        <v>20919418</v>
      </c>
      <c r="G171" s="12">
        <f t="shared" si="150"/>
        <v>131021618</v>
      </c>
      <c r="H171" s="12">
        <f t="shared" si="156"/>
        <v>98266213.5</v>
      </c>
      <c r="I171" s="12">
        <f t="shared" si="157"/>
        <v>34149251.5</v>
      </c>
      <c r="J171" s="2"/>
      <c r="K171" s="167" t="s">
        <v>44</v>
      </c>
      <c r="L171" s="11">
        <f t="shared" si="158"/>
        <v>96</v>
      </c>
      <c r="M171" s="12">
        <f t="shared" si="159"/>
        <v>843336</v>
      </c>
      <c r="N171" s="12">
        <f t="shared" si="151"/>
        <v>80960256</v>
      </c>
      <c r="O171" s="12">
        <f t="shared" si="160"/>
        <v>15382448.640000001</v>
      </c>
      <c r="P171" s="12">
        <f t="shared" si="161"/>
        <v>2833608.9600000004</v>
      </c>
      <c r="Q171" s="13">
        <f t="shared" si="162"/>
        <v>93509095.680000007</v>
      </c>
      <c r="R171" s="14">
        <f t="shared" si="163"/>
        <v>65456366.976000004</v>
      </c>
      <c r="S171" s="26">
        <f t="shared" si="164"/>
        <v>29806024.248000007</v>
      </c>
      <c r="T171" s="3"/>
      <c r="U171" s="2"/>
    </row>
    <row r="172" spans="1:21" ht="15.75" customHeight="1">
      <c r="A172" s="1"/>
      <c r="B172" s="159" t="s">
        <v>45</v>
      </c>
      <c r="C172" s="11">
        <f t="shared" si="152"/>
        <v>99</v>
      </c>
      <c r="D172" s="12">
        <f t="shared" si="153"/>
        <v>1171300</v>
      </c>
      <c r="E172" s="12">
        <f t="shared" si="154"/>
        <v>115958700</v>
      </c>
      <c r="F172" s="12">
        <f t="shared" si="155"/>
        <v>22032153</v>
      </c>
      <c r="G172" s="12">
        <f t="shared" si="150"/>
        <v>137990853</v>
      </c>
      <c r="H172" s="12">
        <f t="shared" si="156"/>
        <v>103493139.75</v>
      </c>
      <c r="I172" s="12">
        <f t="shared" si="157"/>
        <v>32755404.5</v>
      </c>
      <c r="J172" s="2"/>
      <c r="K172" s="167" t="s">
        <v>45</v>
      </c>
      <c r="L172" s="11">
        <f t="shared" si="158"/>
        <v>98</v>
      </c>
      <c r="M172" s="12">
        <f t="shared" si="159"/>
        <v>843336</v>
      </c>
      <c r="N172" s="12">
        <f t="shared" si="151"/>
        <v>82646928</v>
      </c>
      <c r="O172" s="12">
        <f t="shared" si="160"/>
        <v>15702916.32</v>
      </c>
      <c r="P172" s="12">
        <f t="shared" si="161"/>
        <v>2892642.4800000004</v>
      </c>
      <c r="Q172" s="13">
        <f t="shared" si="162"/>
        <v>95457201.839999989</v>
      </c>
      <c r="R172" s="14">
        <f t="shared" si="163"/>
        <v>66820041.287999988</v>
      </c>
      <c r="S172" s="26">
        <f t="shared" si="164"/>
        <v>28052728.704000007</v>
      </c>
      <c r="T172" s="3"/>
      <c r="U172" s="2"/>
    </row>
    <row r="173" spans="1:21" ht="15.75" customHeight="1">
      <c r="A173" s="1"/>
      <c r="B173" s="159" t="s">
        <v>46</v>
      </c>
      <c r="C173" s="11">
        <f t="shared" si="152"/>
        <v>100</v>
      </c>
      <c r="D173" s="12">
        <f t="shared" si="153"/>
        <v>1171300</v>
      </c>
      <c r="E173" s="12">
        <f t="shared" si="154"/>
        <v>117130000</v>
      </c>
      <c r="F173" s="12">
        <f t="shared" si="155"/>
        <v>22254700</v>
      </c>
      <c r="G173" s="12">
        <f t="shared" si="150"/>
        <v>139384700</v>
      </c>
      <c r="H173" s="12">
        <f t="shared" si="156"/>
        <v>104538525</v>
      </c>
      <c r="I173" s="12">
        <f t="shared" si="157"/>
        <v>34497713.25</v>
      </c>
      <c r="J173" s="2"/>
      <c r="K173" s="167" t="s">
        <v>46</v>
      </c>
      <c r="L173" s="11">
        <f t="shared" si="158"/>
        <v>96</v>
      </c>
      <c r="M173" s="12">
        <f t="shared" si="159"/>
        <v>843336</v>
      </c>
      <c r="N173" s="12">
        <f t="shared" si="151"/>
        <v>80960256</v>
      </c>
      <c r="O173" s="12">
        <f t="shared" si="160"/>
        <v>15382448.640000001</v>
      </c>
      <c r="P173" s="12">
        <f t="shared" si="161"/>
        <v>2833608.9600000004</v>
      </c>
      <c r="Q173" s="13">
        <f t="shared" si="162"/>
        <v>93509095.680000007</v>
      </c>
      <c r="R173" s="14">
        <f t="shared" si="163"/>
        <v>65456366.976000004</v>
      </c>
      <c r="S173" s="26">
        <f t="shared" si="164"/>
        <v>28637160.552000001</v>
      </c>
      <c r="T173" s="3"/>
      <c r="U173" s="2"/>
    </row>
    <row r="174" spans="1:21" ht="15.75" customHeight="1">
      <c r="A174" s="1"/>
      <c r="B174" s="160" t="s">
        <v>47</v>
      </c>
      <c r="C174" s="11">
        <f t="shared" si="152"/>
        <v>105</v>
      </c>
      <c r="D174" s="12">
        <f t="shared" si="153"/>
        <v>1171300</v>
      </c>
      <c r="E174" s="12">
        <f t="shared" si="154"/>
        <v>122986500</v>
      </c>
      <c r="F174" s="12">
        <f t="shared" si="155"/>
        <v>23367435</v>
      </c>
      <c r="G174" s="12">
        <f t="shared" si="150"/>
        <v>146353935</v>
      </c>
      <c r="H174" s="12">
        <f t="shared" si="156"/>
        <v>109765451.25</v>
      </c>
      <c r="I174" s="12">
        <f t="shared" si="157"/>
        <v>34846175</v>
      </c>
      <c r="J174" s="2"/>
      <c r="K174" s="167" t="s">
        <v>47</v>
      </c>
      <c r="L174" s="11">
        <f t="shared" si="158"/>
        <v>107</v>
      </c>
      <c r="M174" s="12">
        <f t="shared" si="159"/>
        <v>843336</v>
      </c>
      <c r="N174" s="12">
        <f t="shared" si="151"/>
        <v>90236952</v>
      </c>
      <c r="O174" s="12">
        <f t="shared" si="160"/>
        <v>17145020.879999999</v>
      </c>
      <c r="P174" s="12">
        <f t="shared" si="161"/>
        <v>3158293.3200000003</v>
      </c>
      <c r="Q174" s="13">
        <f t="shared" si="162"/>
        <v>104223679.56</v>
      </c>
      <c r="R174" s="14">
        <f t="shared" si="163"/>
        <v>72956575.692000002</v>
      </c>
      <c r="S174" s="26">
        <f t="shared" si="164"/>
        <v>28052728.704000007</v>
      </c>
      <c r="T174" s="3"/>
      <c r="U174" s="2"/>
    </row>
    <row r="175" spans="1:21" ht="15.75" customHeight="1">
      <c r="A175" s="1"/>
      <c r="B175" s="35"/>
      <c r="C175" s="36"/>
      <c r="D175" s="37"/>
      <c r="E175" s="37"/>
      <c r="F175" s="2"/>
      <c r="G175" s="37"/>
      <c r="H175" s="2"/>
      <c r="I175" s="12">
        <f t="shared" si="157"/>
        <v>36588483.75</v>
      </c>
      <c r="J175" s="2"/>
      <c r="K175" s="167" t="s">
        <v>36</v>
      </c>
      <c r="L175" s="11"/>
      <c r="M175" s="12"/>
      <c r="N175" s="12"/>
      <c r="O175" s="12"/>
      <c r="P175" s="12"/>
      <c r="Q175" s="38"/>
      <c r="R175" s="39"/>
      <c r="S175" s="26">
        <f t="shared" si="164"/>
        <v>31267103.868000004</v>
      </c>
      <c r="T175" s="3"/>
      <c r="U175" s="2"/>
    </row>
    <row r="176" spans="1:21" ht="15.75" customHeight="1">
      <c r="A176" s="1"/>
      <c r="B176" s="35"/>
      <c r="C176" s="2"/>
      <c r="D176" s="37"/>
      <c r="E176" s="37"/>
      <c r="F176" s="2"/>
      <c r="G176" s="37"/>
      <c r="H176" s="2"/>
      <c r="J176" s="2"/>
      <c r="K176" s="167" t="s">
        <v>37</v>
      </c>
      <c r="L176" s="11"/>
      <c r="M176" s="12"/>
      <c r="N176" s="12"/>
      <c r="O176" s="12"/>
      <c r="P176" s="12"/>
      <c r="Q176" s="38"/>
      <c r="R176" s="39"/>
      <c r="T176" s="3"/>
      <c r="U176" s="2"/>
    </row>
    <row r="177" spans="1:21" ht="15.75" customHeight="1" thickBot="1">
      <c r="A177" s="60"/>
      <c r="B177" s="61"/>
      <c r="C177" s="62"/>
      <c r="D177" s="63"/>
      <c r="E177" s="63"/>
      <c r="F177" s="62"/>
      <c r="G177" s="63"/>
      <c r="H177" s="62"/>
      <c r="I177" s="63"/>
      <c r="J177" s="62"/>
      <c r="K177" s="61"/>
      <c r="L177" s="64"/>
      <c r="M177" s="63"/>
      <c r="N177" s="63"/>
      <c r="O177" s="63"/>
      <c r="P177" s="63"/>
      <c r="Q177" s="64"/>
      <c r="R177" s="62"/>
      <c r="S177" s="63"/>
      <c r="T177" s="65"/>
      <c r="U177" s="2"/>
    </row>
    <row r="178" spans="1:21" ht="15.75" customHeight="1"/>
    <row r="179" spans="1:21" ht="15.75" customHeight="1"/>
    <row r="180" spans="1:21" ht="15.75" customHeight="1"/>
    <row r="181" spans="1:21" ht="15.75" customHeight="1"/>
    <row r="182" spans="1:21" ht="15.75" customHeight="1"/>
    <row r="183" spans="1:21" ht="15.75" customHeight="1"/>
    <row r="184" spans="1:21" ht="15.75" customHeight="1"/>
    <row r="185" spans="1:21" ht="15.75" customHeight="1"/>
    <row r="186" spans="1:21" ht="15.75" customHeight="1"/>
    <row r="187" spans="1:21" ht="15.75" customHeight="1"/>
    <row r="188" spans="1:21" ht="15.75" customHeight="1"/>
    <row r="189" spans="1:21" ht="15.75" customHeight="1"/>
    <row r="190" spans="1:21" ht="15.75" customHeight="1"/>
    <row r="191" spans="1:21" ht="15.75" customHeight="1"/>
    <row r="192" spans="1:2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</sheetData>
  <mergeCells count="160">
    <mergeCell ref="AN2:AU2"/>
    <mergeCell ref="B3:I3"/>
    <mergeCell ref="K3:S3"/>
    <mergeCell ref="AC3:AL3"/>
    <mergeCell ref="AN3:AN5"/>
    <mergeCell ref="AP3:AP5"/>
    <mergeCell ref="AQ3:AQ5"/>
    <mergeCell ref="AR3:AR5"/>
    <mergeCell ref="AS3:AS5"/>
    <mergeCell ref="AT3:AT5"/>
    <mergeCell ref="AU3:AU5"/>
    <mergeCell ref="B4:I4"/>
    <mergeCell ref="K4:S4"/>
    <mergeCell ref="V4:V6"/>
    <mergeCell ref="W4:W6"/>
    <mergeCell ref="X4:X6"/>
    <mergeCell ref="Y4:Y6"/>
    <mergeCell ref="Z4:Z6"/>
    <mergeCell ref="AA4:AA6"/>
    <mergeCell ref="AC4:AC6"/>
    <mergeCell ref="AL4:AL6"/>
    <mergeCell ref="B5:B6"/>
    <mergeCell ref="C5:C6"/>
    <mergeCell ref="D5:D6"/>
    <mergeCell ref="AC19:AC30"/>
    <mergeCell ref="AJ4:AJ6"/>
    <mergeCell ref="E5:E6"/>
    <mergeCell ref="G5:G6"/>
    <mergeCell ref="K5:K6"/>
    <mergeCell ref="L5:L6"/>
    <mergeCell ref="AD4:AD6"/>
    <mergeCell ref="AE4:AE6"/>
    <mergeCell ref="AF4:AF6"/>
    <mergeCell ref="AG4:AG6"/>
    <mergeCell ref="AH4:AH6"/>
    <mergeCell ref="AK4:AK6"/>
    <mergeCell ref="L24:L25"/>
    <mergeCell ref="M24:M25"/>
    <mergeCell ref="N24:N25"/>
    <mergeCell ref="Q24:Q25"/>
    <mergeCell ref="V31:V42"/>
    <mergeCell ref="AC31:AC42"/>
    <mergeCell ref="B22:I22"/>
    <mergeCell ref="K22:S22"/>
    <mergeCell ref="B23:I23"/>
    <mergeCell ref="K23:S23"/>
    <mergeCell ref="B24:B25"/>
    <mergeCell ref="C24:C25"/>
    <mergeCell ref="D24:D25"/>
    <mergeCell ref="E24:E25"/>
    <mergeCell ref="G24:G25"/>
    <mergeCell ref="K24:K25"/>
    <mergeCell ref="AI4:AI6"/>
    <mergeCell ref="M5:M6"/>
    <mergeCell ref="N5:N6"/>
    <mergeCell ref="Q5:Q6"/>
    <mergeCell ref="V7:V18"/>
    <mergeCell ref="AC7:AC18"/>
    <mergeCell ref="V19:V30"/>
    <mergeCell ref="L43:L44"/>
    <mergeCell ref="M43:M44"/>
    <mergeCell ref="N43:N44"/>
    <mergeCell ref="Q43:Q44"/>
    <mergeCell ref="V43:V44"/>
    <mergeCell ref="AC43:AC44"/>
    <mergeCell ref="B41:I41"/>
    <mergeCell ref="K41:S41"/>
    <mergeCell ref="B42:I42"/>
    <mergeCell ref="K42:S42"/>
    <mergeCell ref="B43:B44"/>
    <mergeCell ref="C43:C44"/>
    <mergeCell ref="D43:D44"/>
    <mergeCell ref="E43:E44"/>
    <mergeCell ref="G43:G44"/>
    <mergeCell ref="K43:K44"/>
    <mergeCell ref="L64:L65"/>
    <mergeCell ref="M64:M65"/>
    <mergeCell ref="N64:N65"/>
    <mergeCell ref="Q64:Q65"/>
    <mergeCell ref="B81:I81"/>
    <mergeCell ref="K81:S81"/>
    <mergeCell ref="B62:I62"/>
    <mergeCell ref="K62:S62"/>
    <mergeCell ref="B63:I63"/>
    <mergeCell ref="K63:S63"/>
    <mergeCell ref="B64:B65"/>
    <mergeCell ref="C64:C65"/>
    <mergeCell ref="D64:D65"/>
    <mergeCell ref="E64:E65"/>
    <mergeCell ref="G64:G65"/>
    <mergeCell ref="K64:K65"/>
    <mergeCell ref="N83:N84"/>
    <mergeCell ref="Q83:Q84"/>
    <mergeCell ref="B100:I100"/>
    <mergeCell ref="K100:S100"/>
    <mergeCell ref="B101:I101"/>
    <mergeCell ref="K101:S101"/>
    <mergeCell ref="B82:I82"/>
    <mergeCell ref="K82:S82"/>
    <mergeCell ref="B83:B84"/>
    <mergeCell ref="C83:C84"/>
    <mergeCell ref="D83:D84"/>
    <mergeCell ref="E83:E84"/>
    <mergeCell ref="G83:G84"/>
    <mergeCell ref="K83:K84"/>
    <mergeCell ref="L83:L84"/>
    <mergeCell ref="M83:M84"/>
    <mergeCell ref="L102:L103"/>
    <mergeCell ref="M102:M103"/>
    <mergeCell ref="N102:N103"/>
    <mergeCell ref="Q102:Q103"/>
    <mergeCell ref="B121:I121"/>
    <mergeCell ref="K121:S121"/>
    <mergeCell ref="B102:B103"/>
    <mergeCell ref="C102:C103"/>
    <mergeCell ref="D102:D103"/>
    <mergeCell ref="E102:E103"/>
    <mergeCell ref="G102:G103"/>
    <mergeCell ref="K102:K103"/>
    <mergeCell ref="K142:K143"/>
    <mergeCell ref="N123:N124"/>
    <mergeCell ref="Q123:Q124"/>
    <mergeCell ref="B140:I140"/>
    <mergeCell ref="K140:S140"/>
    <mergeCell ref="B141:I141"/>
    <mergeCell ref="K141:S141"/>
    <mergeCell ref="B122:I122"/>
    <mergeCell ref="K122:S122"/>
    <mergeCell ref="B123:B124"/>
    <mergeCell ref="C123:C124"/>
    <mergeCell ref="D123:D124"/>
    <mergeCell ref="E123:E124"/>
    <mergeCell ref="G123:G124"/>
    <mergeCell ref="K123:K124"/>
    <mergeCell ref="L123:L124"/>
    <mergeCell ref="M123:M124"/>
    <mergeCell ref="N161:N162"/>
    <mergeCell ref="Q161:Q162"/>
    <mergeCell ref="AO3:AO5"/>
    <mergeCell ref="B160:I160"/>
    <mergeCell ref="K160:S160"/>
    <mergeCell ref="B161:B162"/>
    <mergeCell ref="C161:C162"/>
    <mergeCell ref="D161:D162"/>
    <mergeCell ref="E161:E162"/>
    <mergeCell ref="G161:G162"/>
    <mergeCell ref="K161:K162"/>
    <mergeCell ref="L161:L162"/>
    <mergeCell ref="M161:M162"/>
    <mergeCell ref="L142:L143"/>
    <mergeCell ref="M142:M143"/>
    <mergeCell ref="N142:N143"/>
    <mergeCell ref="Q142:Q143"/>
    <mergeCell ref="B159:I159"/>
    <mergeCell ref="K159:S159"/>
    <mergeCell ref="B142:B143"/>
    <mergeCell ref="C142:C143"/>
    <mergeCell ref="D142:D143"/>
    <mergeCell ref="E142:E143"/>
    <mergeCell ref="G142:G14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34" zoomScale="70" zoomScaleNormal="70" workbookViewId="0">
      <selection activeCell="I60" sqref="I60"/>
    </sheetView>
  </sheetViews>
  <sheetFormatPr baseColWidth="10" defaultRowHeight="15"/>
  <cols>
    <col min="1" max="1" width="18.7109375" customWidth="1"/>
    <col min="2" max="2" width="20.42578125" customWidth="1"/>
    <col min="3" max="3" width="16.28515625" customWidth="1"/>
    <col min="4" max="4" width="20.140625" bestFit="1" customWidth="1"/>
    <col min="5" max="5" width="21.42578125" customWidth="1"/>
    <col min="6" max="6" width="20.85546875" customWidth="1"/>
  </cols>
  <sheetData>
    <row r="1" spans="2:6" ht="15.75" thickBot="1"/>
    <row r="2" spans="2:6">
      <c r="B2" s="397" t="s">
        <v>103</v>
      </c>
      <c r="C2" s="398"/>
      <c r="D2" s="398"/>
      <c r="E2" s="398"/>
      <c r="F2" s="399"/>
    </row>
    <row r="3" spans="2:6">
      <c r="B3" s="177"/>
      <c r="C3" s="178" t="s">
        <v>102</v>
      </c>
      <c r="D3" s="179">
        <v>7.0000000000000007E-2</v>
      </c>
      <c r="E3" s="179">
        <v>0.06</v>
      </c>
      <c r="F3" s="180">
        <v>0.04</v>
      </c>
    </row>
    <row r="4" spans="2:6">
      <c r="B4" s="177"/>
      <c r="C4" s="178">
        <v>2020</v>
      </c>
      <c r="D4" s="178">
        <v>2021</v>
      </c>
      <c r="E4" s="178">
        <v>2022</v>
      </c>
      <c r="F4" s="181">
        <v>2023</v>
      </c>
    </row>
    <row r="5" spans="2:6">
      <c r="B5" s="177" t="s">
        <v>104</v>
      </c>
      <c r="C5" s="100">
        <v>2350000</v>
      </c>
      <c r="D5" s="100">
        <f>C5*(1+D$3)</f>
        <v>2514500</v>
      </c>
      <c r="E5" s="100">
        <f>D5*(1+E$3)</f>
        <v>2665370</v>
      </c>
      <c r="F5" s="101">
        <f t="shared" ref="F5" si="0">E5*(1+F$3)</f>
        <v>2771984.8000000003</v>
      </c>
    </row>
    <row r="6" spans="2:6">
      <c r="B6" s="177" t="s">
        <v>105</v>
      </c>
      <c r="C6" s="100">
        <v>1987000</v>
      </c>
      <c r="D6" s="100">
        <f t="shared" ref="D6:F9" si="1">C6*(1+D$3)</f>
        <v>2126090</v>
      </c>
      <c r="E6" s="100">
        <f t="shared" si="1"/>
        <v>2253655.4</v>
      </c>
      <c r="F6" s="101">
        <f t="shared" si="1"/>
        <v>2343801.6159999999</v>
      </c>
    </row>
    <row r="7" spans="2:6">
      <c r="B7" s="177" t="s">
        <v>106</v>
      </c>
      <c r="C7" s="100">
        <v>2450000</v>
      </c>
      <c r="D7" s="100">
        <f t="shared" si="1"/>
        <v>2621500</v>
      </c>
      <c r="E7" s="100">
        <f t="shared" si="1"/>
        <v>2778790</v>
      </c>
      <c r="F7" s="101">
        <f t="shared" si="1"/>
        <v>2889941.6</v>
      </c>
    </row>
    <row r="8" spans="2:6">
      <c r="B8" s="177" t="s">
        <v>107</v>
      </c>
      <c r="C8" s="182">
        <v>1789000</v>
      </c>
      <c r="D8" s="100">
        <f t="shared" si="1"/>
        <v>1914230</v>
      </c>
      <c r="E8" s="100">
        <f t="shared" si="1"/>
        <v>2029083.8</v>
      </c>
      <c r="F8" s="101">
        <f t="shared" si="1"/>
        <v>2110247.1520000002</v>
      </c>
    </row>
    <row r="9" spans="2:6" ht="15.75" thickBot="1">
      <c r="B9" s="183" t="s">
        <v>108</v>
      </c>
      <c r="C9" s="184">
        <v>2350000</v>
      </c>
      <c r="D9" s="184">
        <f t="shared" si="1"/>
        <v>2514500</v>
      </c>
      <c r="E9" s="184">
        <f t="shared" si="1"/>
        <v>2665370</v>
      </c>
      <c r="F9" s="185">
        <f t="shared" si="1"/>
        <v>2771984.8000000003</v>
      </c>
    </row>
    <row r="10" spans="2:6" ht="15.75" thickBot="1"/>
    <row r="11" spans="2:6">
      <c r="B11" s="397" t="s">
        <v>109</v>
      </c>
      <c r="C11" s="398"/>
      <c r="D11" s="398"/>
      <c r="E11" s="398"/>
      <c r="F11" s="399"/>
    </row>
    <row r="12" spans="2:6">
      <c r="B12" s="186"/>
      <c r="C12" s="178">
        <v>2020</v>
      </c>
      <c r="D12" s="178">
        <v>2021</v>
      </c>
      <c r="E12" s="178">
        <v>2022</v>
      </c>
      <c r="F12" s="181">
        <v>2023</v>
      </c>
    </row>
    <row r="13" spans="2:6">
      <c r="B13" s="177" t="str">
        <f>B5</f>
        <v>Local 1</v>
      </c>
      <c r="C13" s="102">
        <f>C5*12</f>
        <v>28200000</v>
      </c>
      <c r="D13" s="102">
        <f t="shared" ref="D13:F13" si="2">D5*12</f>
        <v>30174000</v>
      </c>
      <c r="E13" s="102">
        <f t="shared" si="2"/>
        <v>31984440</v>
      </c>
      <c r="F13" s="103">
        <f t="shared" si="2"/>
        <v>33263817.600000001</v>
      </c>
    </row>
    <row r="14" spans="2:6">
      <c r="B14" s="177" t="str">
        <f t="shared" ref="B14:B16" si="3">B6</f>
        <v xml:space="preserve">Local 2 </v>
      </c>
      <c r="C14" s="102">
        <f t="shared" ref="C14:F14" si="4">C6*12</f>
        <v>23844000</v>
      </c>
      <c r="D14" s="102">
        <f t="shared" si="4"/>
        <v>25513080</v>
      </c>
      <c r="E14" s="102">
        <f t="shared" si="4"/>
        <v>27043864.799999997</v>
      </c>
      <c r="F14" s="103">
        <f t="shared" si="4"/>
        <v>28125619.391999997</v>
      </c>
    </row>
    <row r="15" spans="2:6">
      <c r="B15" s="177" t="str">
        <f t="shared" si="3"/>
        <v>Local 3</v>
      </c>
      <c r="C15" s="102">
        <f t="shared" ref="C15:F15" si="5">C7*12</f>
        <v>29400000</v>
      </c>
      <c r="D15" s="102">
        <f t="shared" si="5"/>
        <v>31458000</v>
      </c>
      <c r="E15" s="102">
        <f t="shared" si="5"/>
        <v>33345480</v>
      </c>
      <c r="F15" s="103">
        <f t="shared" si="5"/>
        <v>34679299.200000003</v>
      </c>
    </row>
    <row r="16" spans="2:6">
      <c r="B16" s="177" t="str">
        <f t="shared" si="3"/>
        <v xml:space="preserve">Local 4 </v>
      </c>
      <c r="C16" s="102">
        <f t="shared" ref="C16:F16" si="6">C8*12</f>
        <v>21468000</v>
      </c>
      <c r="D16" s="102">
        <f t="shared" si="6"/>
        <v>22970760</v>
      </c>
      <c r="E16" s="102">
        <f t="shared" si="6"/>
        <v>24349005.600000001</v>
      </c>
      <c r="F16" s="103">
        <f t="shared" si="6"/>
        <v>25322965.824000001</v>
      </c>
    </row>
    <row r="17" spans="2:6">
      <c r="B17" s="177" t="str">
        <f>B9</f>
        <v xml:space="preserve">Oficina </v>
      </c>
      <c r="C17" s="102">
        <f t="shared" ref="C17:F17" si="7">C9*12</f>
        <v>28200000</v>
      </c>
      <c r="D17" s="102">
        <f t="shared" si="7"/>
        <v>30174000</v>
      </c>
      <c r="E17" s="102">
        <f t="shared" si="7"/>
        <v>31984440</v>
      </c>
      <c r="F17" s="103">
        <f t="shared" si="7"/>
        <v>33263817.600000001</v>
      </c>
    </row>
    <row r="18" spans="2:6" ht="15.75" thickBot="1">
      <c r="B18" s="187" t="s">
        <v>110</v>
      </c>
      <c r="C18" s="188">
        <f>SUM(C13:C17)</f>
        <v>131112000</v>
      </c>
      <c r="D18" s="188">
        <f t="shared" ref="D18:F18" si="8">SUM(D13:D17)</f>
        <v>140289840</v>
      </c>
      <c r="E18" s="188">
        <f t="shared" si="8"/>
        <v>148707230.40000001</v>
      </c>
      <c r="F18" s="189">
        <f t="shared" si="8"/>
        <v>154655519.616</v>
      </c>
    </row>
    <row r="20" spans="2:6" ht="15.75" thickBot="1"/>
    <row r="21" spans="2:6">
      <c r="B21" s="397" t="s">
        <v>111</v>
      </c>
      <c r="C21" s="398"/>
      <c r="D21" s="398"/>
      <c r="E21" s="398"/>
      <c r="F21" s="399"/>
    </row>
    <row r="22" spans="2:6">
      <c r="B22" s="177"/>
      <c r="C22" s="178" t="s">
        <v>102</v>
      </c>
      <c r="D22" s="179">
        <v>7.0000000000000007E-2</v>
      </c>
      <c r="E22" s="179">
        <v>0.06</v>
      </c>
      <c r="F22" s="180">
        <v>0.04</v>
      </c>
    </row>
    <row r="23" spans="2:6">
      <c r="B23" s="177"/>
      <c r="C23" s="178">
        <v>2020</v>
      </c>
      <c r="D23" s="178">
        <v>2021</v>
      </c>
      <c r="E23" s="178">
        <v>2022</v>
      </c>
      <c r="F23" s="181">
        <v>2023</v>
      </c>
    </row>
    <row r="24" spans="2:6">
      <c r="B24" s="177" t="s">
        <v>104</v>
      </c>
      <c r="C24" s="100">
        <v>654000</v>
      </c>
      <c r="D24" s="100">
        <f>C24*(1+D$3)</f>
        <v>699780</v>
      </c>
      <c r="E24" s="100">
        <f>D24*(1+E$3)</f>
        <v>741766.8</v>
      </c>
      <c r="F24" s="101">
        <f t="shared" ref="F24" si="9">E24*(1+F$3)</f>
        <v>771437.47200000007</v>
      </c>
    </row>
    <row r="25" spans="2:6">
      <c r="B25" s="177" t="s">
        <v>105</v>
      </c>
      <c r="C25" s="100">
        <v>760000</v>
      </c>
      <c r="D25" s="100">
        <f t="shared" ref="D25:F25" si="10">C25*(1+D$3)</f>
        <v>813200</v>
      </c>
      <c r="E25" s="100">
        <f t="shared" si="10"/>
        <v>861992</v>
      </c>
      <c r="F25" s="101">
        <f t="shared" si="10"/>
        <v>896471.68</v>
      </c>
    </row>
    <row r="26" spans="2:6">
      <c r="B26" s="177" t="s">
        <v>106</v>
      </c>
      <c r="C26" s="100">
        <v>456000</v>
      </c>
      <c r="D26" s="100">
        <f t="shared" ref="D26:F26" si="11">C26*(1+D$3)</f>
        <v>487920</v>
      </c>
      <c r="E26" s="100">
        <f t="shared" si="11"/>
        <v>517195.2</v>
      </c>
      <c r="F26" s="101">
        <f t="shared" si="11"/>
        <v>537883.00800000003</v>
      </c>
    </row>
    <row r="27" spans="2:6">
      <c r="B27" s="177" t="s">
        <v>107</v>
      </c>
      <c r="C27" s="100">
        <v>390000</v>
      </c>
      <c r="D27" s="100">
        <f t="shared" ref="D27:F27" si="12">C27*(1+D$3)</f>
        <v>417300</v>
      </c>
      <c r="E27" s="100">
        <f t="shared" si="12"/>
        <v>442338</v>
      </c>
      <c r="F27" s="101">
        <f t="shared" si="12"/>
        <v>460031.52</v>
      </c>
    </row>
    <row r="28" spans="2:6" ht="15.75" thickBot="1">
      <c r="B28" s="183" t="s">
        <v>108</v>
      </c>
      <c r="C28" s="184">
        <v>457000</v>
      </c>
      <c r="D28" s="184">
        <f t="shared" ref="D28:F28" si="13">C28*(1+D$3)</f>
        <v>488990</v>
      </c>
      <c r="E28" s="184">
        <f t="shared" si="13"/>
        <v>518329.4</v>
      </c>
      <c r="F28" s="185">
        <f t="shared" si="13"/>
        <v>539062.576</v>
      </c>
    </row>
    <row r="29" spans="2:6" ht="15.75" thickBot="1"/>
    <row r="30" spans="2:6">
      <c r="B30" s="397" t="s">
        <v>112</v>
      </c>
      <c r="C30" s="398"/>
      <c r="D30" s="398"/>
      <c r="E30" s="398"/>
      <c r="F30" s="399"/>
    </row>
    <row r="31" spans="2:6">
      <c r="B31" s="186"/>
      <c r="C31" s="178">
        <v>2020</v>
      </c>
      <c r="D31" s="178">
        <v>2021</v>
      </c>
      <c r="E31" s="178">
        <v>2022</v>
      </c>
      <c r="F31" s="181">
        <v>2023</v>
      </c>
    </row>
    <row r="32" spans="2:6">
      <c r="B32" s="177" t="str">
        <f>B24</f>
        <v>Local 1</v>
      </c>
      <c r="C32" s="102">
        <f>C24*12</f>
        <v>7848000</v>
      </c>
      <c r="D32" s="102">
        <f t="shared" ref="D32:F32" si="14">D24*12</f>
        <v>8397360</v>
      </c>
      <c r="E32" s="102">
        <f t="shared" si="14"/>
        <v>8901201.6000000015</v>
      </c>
      <c r="F32" s="103">
        <f t="shared" si="14"/>
        <v>9257249.6640000008</v>
      </c>
    </row>
    <row r="33" spans="1:6">
      <c r="B33" s="177" t="str">
        <f t="shared" ref="B33:B35" si="15">B25</f>
        <v xml:space="preserve">Local 2 </v>
      </c>
      <c r="C33" s="102">
        <f t="shared" ref="C33:F33" si="16">C25*12</f>
        <v>9120000</v>
      </c>
      <c r="D33" s="102">
        <f t="shared" si="16"/>
        <v>9758400</v>
      </c>
      <c r="E33" s="102">
        <f t="shared" si="16"/>
        <v>10343904</v>
      </c>
      <c r="F33" s="103">
        <f t="shared" si="16"/>
        <v>10757660.16</v>
      </c>
    </row>
    <row r="34" spans="1:6">
      <c r="B34" s="177" t="str">
        <f t="shared" si="15"/>
        <v>Local 3</v>
      </c>
      <c r="C34" s="102">
        <f t="shared" ref="C34:F34" si="17">C26*12</f>
        <v>5472000</v>
      </c>
      <c r="D34" s="102">
        <f t="shared" si="17"/>
        <v>5855040</v>
      </c>
      <c r="E34" s="102">
        <f t="shared" si="17"/>
        <v>6206342.4000000004</v>
      </c>
      <c r="F34" s="103">
        <f t="shared" si="17"/>
        <v>6454596.0960000008</v>
      </c>
    </row>
    <row r="35" spans="1:6">
      <c r="B35" s="177" t="str">
        <f t="shared" si="15"/>
        <v xml:space="preserve">Local 4 </v>
      </c>
      <c r="C35" s="102">
        <f t="shared" ref="C35:F35" si="18">C27*12</f>
        <v>4680000</v>
      </c>
      <c r="D35" s="102">
        <f t="shared" si="18"/>
        <v>5007600</v>
      </c>
      <c r="E35" s="102">
        <f t="shared" si="18"/>
        <v>5308056</v>
      </c>
      <c r="F35" s="103">
        <f t="shared" si="18"/>
        <v>5520378.2400000002</v>
      </c>
    </row>
    <row r="36" spans="1:6">
      <c r="A36" s="106">
        <f>SUM(D32:D35)</f>
        <v>29018400</v>
      </c>
      <c r="B36" s="177" t="str">
        <f>B28</f>
        <v xml:space="preserve">Oficina </v>
      </c>
      <c r="C36" s="102">
        <f t="shared" ref="C36:F36" si="19">C28*12</f>
        <v>5484000</v>
      </c>
      <c r="D36" s="102">
        <f t="shared" si="19"/>
        <v>5867880</v>
      </c>
      <c r="E36" s="102">
        <f t="shared" si="19"/>
        <v>6219952.8000000007</v>
      </c>
      <c r="F36" s="103">
        <f t="shared" si="19"/>
        <v>6468750.9120000005</v>
      </c>
    </row>
    <row r="37" spans="1:6" ht="15.75" thickBot="1">
      <c r="B37" s="187" t="s">
        <v>113</v>
      </c>
      <c r="C37" s="188">
        <f>SUM(C32:C36)</f>
        <v>32604000</v>
      </c>
      <c r="D37" s="188">
        <f t="shared" ref="D37" si="20">SUM(D32:D36)</f>
        <v>34886280</v>
      </c>
      <c r="E37" s="188">
        <f t="shared" ref="E37" si="21">SUM(E32:E36)</f>
        <v>36979456.799999997</v>
      </c>
      <c r="F37" s="189">
        <f t="shared" ref="F37" si="22">SUM(F32:F36)</f>
        <v>38458635.072000004</v>
      </c>
    </row>
    <row r="38" spans="1:6" ht="15.75" thickBot="1"/>
    <row r="39" spans="1:6">
      <c r="B39" s="400" t="s">
        <v>118</v>
      </c>
      <c r="C39" s="401"/>
      <c r="D39" s="401"/>
      <c r="E39" s="401"/>
      <c r="F39" s="402"/>
    </row>
    <row r="40" spans="1:6">
      <c r="B40" s="177"/>
      <c r="C40" s="178">
        <v>2020</v>
      </c>
      <c r="D40" s="178">
        <v>2021</v>
      </c>
      <c r="E40" s="178">
        <v>2022</v>
      </c>
      <c r="F40" s="181">
        <v>2023</v>
      </c>
    </row>
    <row r="41" spans="1:6">
      <c r="B41" s="177" t="s">
        <v>114</v>
      </c>
      <c r="C41" s="100">
        <v>678900</v>
      </c>
      <c r="D41" s="100">
        <f>C41*(1+D$3)</f>
        <v>726423</v>
      </c>
      <c r="E41" s="100">
        <f>D41*(1+E$3)</f>
        <v>770008.38</v>
      </c>
      <c r="F41" s="101">
        <f t="shared" ref="F41" si="23">E41*(1+F$3)</f>
        <v>800808.71519999998</v>
      </c>
    </row>
    <row r="42" spans="1:6">
      <c r="B42" s="177" t="s">
        <v>115</v>
      </c>
      <c r="C42" s="100">
        <v>198000</v>
      </c>
      <c r="D42" s="100">
        <f t="shared" ref="D42:F42" si="24">C42*(1+D$3)</f>
        <v>211860</v>
      </c>
      <c r="E42" s="100">
        <f t="shared" si="24"/>
        <v>224571.6</v>
      </c>
      <c r="F42" s="101">
        <f t="shared" si="24"/>
        <v>233554.46400000001</v>
      </c>
    </row>
    <row r="43" spans="1:6">
      <c r="B43" s="177" t="s">
        <v>116</v>
      </c>
      <c r="C43" s="100">
        <v>650000</v>
      </c>
      <c r="D43" s="100">
        <f t="shared" ref="D43:F43" si="25">C43*(1+D$3)</f>
        <v>695500</v>
      </c>
      <c r="E43" s="100">
        <f t="shared" si="25"/>
        <v>737230</v>
      </c>
      <c r="F43" s="101">
        <f t="shared" si="25"/>
        <v>766719.20000000007</v>
      </c>
    </row>
    <row r="44" spans="1:6" ht="15.75" thickBot="1">
      <c r="B44" s="183" t="s">
        <v>117</v>
      </c>
      <c r="C44" s="184">
        <v>2800000</v>
      </c>
      <c r="D44" s="184">
        <f t="shared" ref="D44:F44" si="26">C44*(1+D$3)</f>
        <v>2996000</v>
      </c>
      <c r="E44" s="184">
        <f t="shared" si="26"/>
        <v>3175760</v>
      </c>
      <c r="F44" s="185">
        <f t="shared" si="26"/>
        <v>3302790.4</v>
      </c>
    </row>
    <row r="45" spans="1:6" ht="15.75" thickBot="1">
      <c r="D45" s="105"/>
      <c r="E45" s="105"/>
      <c r="F45" s="105"/>
    </row>
    <row r="46" spans="1:6">
      <c r="B46" s="397" t="s">
        <v>120</v>
      </c>
      <c r="C46" s="398"/>
      <c r="D46" s="398"/>
      <c r="E46" s="398"/>
      <c r="F46" s="399"/>
    </row>
    <row r="47" spans="1:6">
      <c r="B47" s="186"/>
      <c r="C47" s="178">
        <v>2020</v>
      </c>
      <c r="D47" s="178">
        <v>2021</v>
      </c>
      <c r="E47" s="178">
        <v>2022</v>
      </c>
      <c r="F47" s="181">
        <v>2023</v>
      </c>
    </row>
    <row r="48" spans="1:6">
      <c r="B48" s="177" t="str">
        <f t="shared" ref="B48:B50" si="27">B41</f>
        <v xml:space="preserve">Transporte </v>
      </c>
      <c r="C48" s="102">
        <f>C41*12</f>
        <v>8146800</v>
      </c>
      <c r="D48" s="102">
        <f t="shared" ref="D48:F48" si="28">D41*12</f>
        <v>8717076</v>
      </c>
      <c r="E48" s="102">
        <f t="shared" si="28"/>
        <v>9240100.5600000005</v>
      </c>
      <c r="F48" s="103">
        <f t="shared" si="28"/>
        <v>9609704.5823999997</v>
      </c>
    </row>
    <row r="49" spans="2:6">
      <c r="B49" s="177" t="str">
        <f t="shared" si="27"/>
        <v xml:space="preserve">Celular </v>
      </c>
      <c r="C49" s="102">
        <f t="shared" ref="C49:F49" si="29">C42*12</f>
        <v>2376000</v>
      </c>
      <c r="D49" s="102">
        <f t="shared" si="29"/>
        <v>2542320</v>
      </c>
      <c r="E49" s="102">
        <f t="shared" si="29"/>
        <v>2694859.2</v>
      </c>
      <c r="F49" s="103">
        <f t="shared" si="29"/>
        <v>2802653.568</v>
      </c>
    </row>
    <row r="50" spans="2:6">
      <c r="B50" s="177" t="str">
        <f t="shared" si="27"/>
        <v xml:space="preserve">Aseo </v>
      </c>
      <c r="C50" s="102">
        <f t="shared" ref="C50:F50" si="30">C43*12</f>
        <v>7800000</v>
      </c>
      <c r="D50" s="102">
        <f t="shared" si="30"/>
        <v>8346000</v>
      </c>
      <c r="E50" s="102">
        <f t="shared" si="30"/>
        <v>8846760</v>
      </c>
      <c r="F50" s="103">
        <f t="shared" si="30"/>
        <v>9200630.4000000004</v>
      </c>
    </row>
    <row r="51" spans="2:6">
      <c r="B51" s="177" t="str">
        <f>B44</f>
        <v xml:space="preserve">Mantenimiento </v>
      </c>
      <c r="C51" s="102">
        <f t="shared" ref="C51:F51" si="31">C44*12</f>
        <v>33600000</v>
      </c>
      <c r="D51" s="102">
        <f t="shared" si="31"/>
        <v>35952000</v>
      </c>
      <c r="E51" s="102">
        <f t="shared" si="31"/>
        <v>38109120</v>
      </c>
      <c r="F51" s="103">
        <f t="shared" si="31"/>
        <v>39633484.799999997</v>
      </c>
    </row>
    <row r="52" spans="2:6" ht="15.75" thickBot="1">
      <c r="B52" s="187" t="s">
        <v>119</v>
      </c>
      <c r="C52" s="188">
        <f>SUM(C48:C51)</f>
        <v>51922800</v>
      </c>
      <c r="D52" s="188">
        <f>SUM(D48:D51)</f>
        <v>55557396</v>
      </c>
      <c r="E52" s="188">
        <f>SUM(E48:E51)</f>
        <v>58890839.760000005</v>
      </c>
      <c r="F52" s="189">
        <f>SUM(F48:F51)</f>
        <v>61246473.350400001</v>
      </c>
    </row>
    <row r="55" spans="2:6" ht="15.75" thickBot="1"/>
    <row r="56" spans="2:6">
      <c r="B56" s="397" t="s">
        <v>122</v>
      </c>
      <c r="C56" s="398"/>
      <c r="D56" s="398"/>
      <c r="E56" s="398"/>
      <c r="F56" s="399"/>
    </row>
    <row r="57" spans="2:6">
      <c r="B57" s="177"/>
      <c r="C57" s="178"/>
      <c r="D57" s="178">
        <v>2021</v>
      </c>
      <c r="E57" s="178">
        <v>2022</v>
      </c>
      <c r="F57" s="181">
        <v>2023</v>
      </c>
    </row>
    <row r="58" spans="2:6">
      <c r="B58" s="177" t="s">
        <v>123</v>
      </c>
      <c r="C58" s="178"/>
      <c r="D58" s="100">
        <f>'VENTAS Y COMPRAS'!AO6</f>
        <v>5202529545.454545</v>
      </c>
      <c r="E58" s="100">
        <f>'VENTAS Y COMPRAS'!AO7</f>
        <v>5672475809.090909</v>
      </c>
      <c r="F58" s="101">
        <f>'VENTAS Y COMPRAS'!AO8</f>
        <v>6067946834.1818171</v>
      </c>
    </row>
    <row r="59" spans="2:6">
      <c r="B59" s="177" t="s">
        <v>124</v>
      </c>
      <c r="C59" s="179">
        <v>0.03</v>
      </c>
      <c r="D59" s="102">
        <f>D58*$C$59</f>
        <v>156075886.36363634</v>
      </c>
      <c r="E59" s="102">
        <f t="shared" ref="E59:F59" si="32">E58*$C$59</f>
        <v>170174274.27272725</v>
      </c>
      <c r="F59" s="103">
        <f t="shared" si="32"/>
        <v>182038405.02545449</v>
      </c>
    </row>
    <row r="60" spans="2:6">
      <c r="B60" s="190" t="s">
        <v>125</v>
      </c>
      <c r="C60" s="191">
        <v>2.5000000000000001E-2</v>
      </c>
      <c r="D60" s="104">
        <f>D58*$C$60</f>
        <v>130063238.63636363</v>
      </c>
      <c r="E60" s="104">
        <f t="shared" ref="E60:F60" si="33">E58*$C$60</f>
        <v>141811895.22727272</v>
      </c>
      <c r="F60" s="192">
        <f t="shared" si="33"/>
        <v>151698670.85454544</v>
      </c>
    </row>
    <row r="61" spans="2:6" ht="15.75" thickBot="1">
      <c r="B61" s="193" t="s">
        <v>126</v>
      </c>
      <c r="C61" s="194"/>
      <c r="D61" s="188">
        <f>SUM(D59:D60)</f>
        <v>286139125</v>
      </c>
      <c r="E61" s="188">
        <f t="shared" ref="E61:F61" si="34">SUM(E59:E60)</f>
        <v>311986169.5</v>
      </c>
      <c r="F61" s="189">
        <f t="shared" si="34"/>
        <v>333737075.87999994</v>
      </c>
    </row>
  </sheetData>
  <mergeCells count="7">
    <mergeCell ref="B56:F56"/>
    <mergeCell ref="B2:F2"/>
    <mergeCell ref="B11:F11"/>
    <mergeCell ref="B21:F21"/>
    <mergeCell ref="B30:F30"/>
    <mergeCell ref="B46:F46"/>
    <mergeCell ref="B39:F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7"/>
  <sheetViews>
    <sheetView zoomScale="70" zoomScaleNormal="70" workbookViewId="0">
      <selection activeCell="P168" sqref="P168"/>
    </sheetView>
  </sheetViews>
  <sheetFormatPr baseColWidth="10" defaultRowHeight="15"/>
  <cols>
    <col min="2" max="2" width="27.7109375" customWidth="1"/>
    <col min="3" max="3" width="19.140625" bestFit="1" customWidth="1"/>
    <col min="4" max="5" width="20.140625" bestFit="1" customWidth="1"/>
    <col min="6" max="6" width="18.7109375" bestFit="1" customWidth="1"/>
    <col min="7" max="7" width="19.42578125" customWidth="1"/>
    <col min="8" max="8" width="17.85546875" customWidth="1"/>
    <col min="9" max="14" width="17.85546875" bestFit="1" customWidth="1"/>
  </cols>
  <sheetData>
    <row r="1" spans="1:14">
      <c r="A1" s="195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>
      <c r="A2" s="198"/>
      <c r="B2" s="199" t="s">
        <v>68</v>
      </c>
      <c r="C2" s="199">
        <v>1</v>
      </c>
      <c r="D2" s="200">
        <f>0.00522</f>
        <v>5.2199999999999998E-3</v>
      </c>
      <c r="E2" s="199"/>
      <c r="F2" s="199"/>
      <c r="G2" s="199"/>
      <c r="H2" s="199"/>
      <c r="I2" s="199"/>
      <c r="J2" s="199"/>
      <c r="K2" s="199"/>
      <c r="L2" s="199"/>
      <c r="M2" s="199"/>
      <c r="N2" s="201"/>
    </row>
    <row r="3" spans="1:14">
      <c r="A3" s="198"/>
      <c r="B3" s="199"/>
      <c r="C3" s="199">
        <v>2</v>
      </c>
      <c r="D3" s="200">
        <f>1.044%</f>
        <v>1.044E-2</v>
      </c>
      <c r="E3" s="199"/>
      <c r="F3" s="199"/>
      <c r="G3" s="199"/>
      <c r="H3" s="199"/>
      <c r="I3" s="199"/>
      <c r="J3" s="199"/>
      <c r="K3" s="199"/>
      <c r="L3" s="199"/>
      <c r="M3" s="199"/>
      <c r="N3" s="201"/>
    </row>
    <row r="4" spans="1:14">
      <c r="A4" s="198"/>
      <c r="B4" s="199"/>
      <c r="C4" s="199">
        <v>3</v>
      </c>
      <c r="D4" s="202">
        <v>2.436E-2</v>
      </c>
      <c r="E4" s="199"/>
      <c r="F4" s="199"/>
      <c r="G4" s="199"/>
      <c r="H4" s="199"/>
      <c r="I4" s="199"/>
      <c r="J4" s="199"/>
      <c r="K4" s="199"/>
      <c r="L4" s="199"/>
      <c r="M4" s="199"/>
      <c r="N4" s="201"/>
    </row>
    <row r="5" spans="1:14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1"/>
    </row>
    <row r="6" spans="1:14">
      <c r="A6" s="198"/>
      <c r="B6" s="199" t="s">
        <v>69</v>
      </c>
      <c r="C6" s="203">
        <v>1650000</v>
      </c>
      <c r="D6" s="203">
        <f>C6</f>
        <v>1650000</v>
      </c>
      <c r="E6" s="203">
        <f t="shared" ref="E6:N6" si="0">D6</f>
        <v>1650000</v>
      </c>
      <c r="F6" s="203">
        <f t="shared" si="0"/>
        <v>1650000</v>
      </c>
      <c r="G6" s="203">
        <f t="shared" si="0"/>
        <v>1650000</v>
      </c>
      <c r="H6" s="203">
        <f t="shared" si="0"/>
        <v>1650000</v>
      </c>
      <c r="I6" s="203">
        <f t="shared" si="0"/>
        <v>1650000</v>
      </c>
      <c r="J6" s="203">
        <f t="shared" si="0"/>
        <v>1650000</v>
      </c>
      <c r="K6" s="203">
        <f t="shared" si="0"/>
        <v>1650000</v>
      </c>
      <c r="L6" s="203">
        <f t="shared" si="0"/>
        <v>1650000</v>
      </c>
      <c r="M6" s="203">
        <f t="shared" si="0"/>
        <v>1650000</v>
      </c>
      <c r="N6" s="204">
        <f t="shared" si="0"/>
        <v>1650000</v>
      </c>
    </row>
    <row r="7" spans="1:14">
      <c r="A7" s="198"/>
      <c r="B7" s="199" t="s">
        <v>70</v>
      </c>
      <c r="C7" s="203">
        <f>IF(C6&lt;2*878000,102854,0)</f>
        <v>102854</v>
      </c>
      <c r="D7" s="203">
        <f t="shared" ref="D7:N7" si="1">IF(D6&lt;2*878000,102854,0)</f>
        <v>102854</v>
      </c>
      <c r="E7" s="203">
        <f t="shared" si="1"/>
        <v>102854</v>
      </c>
      <c r="F7" s="203">
        <f t="shared" si="1"/>
        <v>102854</v>
      </c>
      <c r="G7" s="203">
        <f t="shared" si="1"/>
        <v>102854</v>
      </c>
      <c r="H7" s="203">
        <f t="shared" si="1"/>
        <v>102854</v>
      </c>
      <c r="I7" s="203">
        <f t="shared" si="1"/>
        <v>102854</v>
      </c>
      <c r="J7" s="203">
        <f t="shared" si="1"/>
        <v>102854</v>
      </c>
      <c r="K7" s="203">
        <f t="shared" si="1"/>
        <v>102854</v>
      </c>
      <c r="L7" s="203">
        <f t="shared" si="1"/>
        <v>102854</v>
      </c>
      <c r="M7" s="203">
        <f t="shared" si="1"/>
        <v>102854</v>
      </c>
      <c r="N7" s="204">
        <f t="shared" si="1"/>
        <v>102854</v>
      </c>
    </row>
    <row r="8" spans="1:14">
      <c r="A8" s="205"/>
      <c r="B8" s="199" t="s">
        <v>71</v>
      </c>
      <c r="C8" s="206"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7">
        <v>0</v>
      </c>
    </row>
    <row r="9" spans="1:14">
      <c r="A9" s="198"/>
      <c r="B9" s="199" t="s">
        <v>72</v>
      </c>
      <c r="C9" s="208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7"/>
    </row>
    <row r="10" spans="1:14">
      <c r="A10" s="198"/>
      <c r="B10" s="199" t="s">
        <v>73</v>
      </c>
      <c r="C10" s="208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7"/>
    </row>
    <row r="11" spans="1:14">
      <c r="A11" s="198"/>
      <c r="B11" s="199"/>
      <c r="C11" s="208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7"/>
    </row>
    <row r="12" spans="1:14">
      <c r="A12" s="407" t="s">
        <v>74</v>
      </c>
      <c r="B12" s="199" t="s">
        <v>75</v>
      </c>
      <c r="C12" s="203">
        <f t="shared" ref="C12:N12" si="2">SUM(C6:C10)</f>
        <v>1752854</v>
      </c>
      <c r="D12" s="206">
        <f t="shared" si="2"/>
        <v>1752854</v>
      </c>
      <c r="E12" s="206">
        <f t="shared" si="2"/>
        <v>1752854</v>
      </c>
      <c r="F12" s="206">
        <f>SUM(F6:F10)</f>
        <v>1752854</v>
      </c>
      <c r="G12" s="206">
        <f t="shared" si="2"/>
        <v>1752854</v>
      </c>
      <c r="H12" s="206">
        <f t="shared" si="2"/>
        <v>1752854</v>
      </c>
      <c r="I12" s="206">
        <f t="shared" si="2"/>
        <v>1752854</v>
      </c>
      <c r="J12" s="206">
        <f t="shared" si="2"/>
        <v>1752854</v>
      </c>
      <c r="K12" s="206">
        <f t="shared" si="2"/>
        <v>1752854</v>
      </c>
      <c r="L12" s="206">
        <f t="shared" si="2"/>
        <v>1752854</v>
      </c>
      <c r="M12" s="206">
        <f t="shared" si="2"/>
        <v>1752854</v>
      </c>
      <c r="N12" s="207">
        <f t="shared" si="2"/>
        <v>1752854</v>
      </c>
    </row>
    <row r="13" spans="1:14">
      <c r="A13" s="407"/>
      <c r="B13" s="199" t="s">
        <v>76</v>
      </c>
      <c r="C13" s="203">
        <f t="shared" ref="C13:N13" si="3">C12-C7</f>
        <v>1650000</v>
      </c>
      <c r="D13" s="209">
        <f t="shared" si="3"/>
        <v>1650000</v>
      </c>
      <c r="E13" s="209">
        <f t="shared" si="3"/>
        <v>1650000</v>
      </c>
      <c r="F13" s="209">
        <f t="shared" si="3"/>
        <v>1650000</v>
      </c>
      <c r="G13" s="209">
        <f t="shared" si="3"/>
        <v>1650000</v>
      </c>
      <c r="H13" s="209">
        <f t="shared" si="3"/>
        <v>1650000</v>
      </c>
      <c r="I13" s="209">
        <f t="shared" si="3"/>
        <v>1650000</v>
      </c>
      <c r="J13" s="209">
        <f t="shared" si="3"/>
        <v>1650000</v>
      </c>
      <c r="K13" s="209">
        <f t="shared" si="3"/>
        <v>1650000</v>
      </c>
      <c r="L13" s="209">
        <f t="shared" si="3"/>
        <v>1650000</v>
      </c>
      <c r="M13" s="209">
        <f t="shared" si="3"/>
        <v>1650000</v>
      </c>
      <c r="N13" s="210">
        <f t="shared" si="3"/>
        <v>1650000</v>
      </c>
    </row>
    <row r="14" spans="1:14">
      <c r="A14" s="198"/>
      <c r="B14" s="199"/>
      <c r="C14" s="203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01"/>
    </row>
    <row r="15" spans="1:14">
      <c r="A15" s="198"/>
      <c r="B15" s="199" t="s">
        <v>77</v>
      </c>
      <c r="C15" s="203">
        <f t="shared" ref="C15:N15" si="4">C12-C17-C20</f>
        <v>1620854</v>
      </c>
      <c r="D15" s="209">
        <f t="shared" si="4"/>
        <v>1620854</v>
      </c>
      <c r="E15" s="209">
        <f t="shared" si="4"/>
        <v>1620854</v>
      </c>
      <c r="F15" s="209">
        <f t="shared" si="4"/>
        <v>1620854</v>
      </c>
      <c r="G15" s="209">
        <f t="shared" si="4"/>
        <v>1620854</v>
      </c>
      <c r="H15" s="209">
        <f t="shared" si="4"/>
        <v>1620854</v>
      </c>
      <c r="I15" s="209">
        <f t="shared" si="4"/>
        <v>1620854</v>
      </c>
      <c r="J15" s="209">
        <f t="shared" si="4"/>
        <v>1620854</v>
      </c>
      <c r="K15" s="209">
        <f t="shared" si="4"/>
        <v>1620854</v>
      </c>
      <c r="L15" s="209">
        <f t="shared" si="4"/>
        <v>1620854</v>
      </c>
      <c r="M15" s="209">
        <f t="shared" si="4"/>
        <v>1620854</v>
      </c>
      <c r="N15" s="210">
        <f t="shared" si="4"/>
        <v>1620854</v>
      </c>
    </row>
    <row r="16" spans="1:14">
      <c r="A16" s="198"/>
      <c r="B16" s="199"/>
      <c r="C16" s="203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201"/>
    </row>
    <row r="17" spans="1:14">
      <c r="A17" s="408" t="s">
        <v>78</v>
      </c>
      <c r="B17" s="211" t="s">
        <v>79</v>
      </c>
      <c r="C17" s="203">
        <f t="shared" ref="C17:N17" si="5">C13*4%</f>
        <v>66000</v>
      </c>
      <c r="D17" s="209">
        <f t="shared" si="5"/>
        <v>66000</v>
      </c>
      <c r="E17" s="209">
        <f t="shared" si="5"/>
        <v>66000</v>
      </c>
      <c r="F17" s="209">
        <f t="shared" si="5"/>
        <v>66000</v>
      </c>
      <c r="G17" s="209">
        <f t="shared" si="5"/>
        <v>66000</v>
      </c>
      <c r="H17" s="209">
        <f t="shared" si="5"/>
        <v>66000</v>
      </c>
      <c r="I17" s="209">
        <f t="shared" si="5"/>
        <v>66000</v>
      </c>
      <c r="J17" s="209">
        <f t="shared" si="5"/>
        <v>66000</v>
      </c>
      <c r="K17" s="209">
        <f t="shared" si="5"/>
        <v>66000</v>
      </c>
      <c r="L17" s="209">
        <f t="shared" si="5"/>
        <v>66000</v>
      </c>
      <c r="M17" s="209">
        <f t="shared" si="5"/>
        <v>66000</v>
      </c>
      <c r="N17" s="210">
        <f t="shared" si="5"/>
        <v>66000</v>
      </c>
    </row>
    <row r="18" spans="1:14">
      <c r="A18" s="408"/>
      <c r="B18" s="211" t="s">
        <v>80</v>
      </c>
      <c r="C18" s="203">
        <f t="shared" ref="C18:N18" si="6">C13*8.5%</f>
        <v>140250</v>
      </c>
      <c r="D18" s="209">
        <f t="shared" si="6"/>
        <v>140250</v>
      </c>
      <c r="E18" s="209">
        <f t="shared" si="6"/>
        <v>140250</v>
      </c>
      <c r="F18" s="209">
        <f t="shared" si="6"/>
        <v>140250</v>
      </c>
      <c r="G18" s="209">
        <f t="shared" si="6"/>
        <v>140250</v>
      </c>
      <c r="H18" s="209">
        <f t="shared" si="6"/>
        <v>140250</v>
      </c>
      <c r="I18" s="209">
        <f t="shared" si="6"/>
        <v>140250</v>
      </c>
      <c r="J18" s="209">
        <f t="shared" si="6"/>
        <v>140250</v>
      </c>
      <c r="K18" s="209">
        <f t="shared" si="6"/>
        <v>140250</v>
      </c>
      <c r="L18" s="209">
        <f t="shared" si="6"/>
        <v>140250</v>
      </c>
      <c r="M18" s="209">
        <f t="shared" si="6"/>
        <v>140250</v>
      </c>
      <c r="N18" s="210">
        <f t="shared" si="6"/>
        <v>140250</v>
      </c>
    </row>
    <row r="19" spans="1:14">
      <c r="A19" s="198"/>
      <c r="B19" s="211"/>
      <c r="C19" s="203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01"/>
    </row>
    <row r="20" spans="1:14">
      <c r="A20" s="408" t="s">
        <v>81</v>
      </c>
      <c r="B20" s="211" t="s">
        <v>82</v>
      </c>
      <c r="C20" s="203">
        <f t="shared" ref="C20:N20" si="7">C13*4%</f>
        <v>66000</v>
      </c>
      <c r="D20" s="209">
        <f t="shared" si="7"/>
        <v>66000</v>
      </c>
      <c r="E20" s="209">
        <f t="shared" si="7"/>
        <v>66000</v>
      </c>
      <c r="F20" s="209">
        <f t="shared" si="7"/>
        <v>66000</v>
      </c>
      <c r="G20" s="209">
        <f t="shared" si="7"/>
        <v>66000</v>
      </c>
      <c r="H20" s="209">
        <f t="shared" si="7"/>
        <v>66000</v>
      </c>
      <c r="I20" s="209">
        <f t="shared" si="7"/>
        <v>66000</v>
      </c>
      <c r="J20" s="209">
        <f t="shared" si="7"/>
        <v>66000</v>
      </c>
      <c r="K20" s="209">
        <f t="shared" si="7"/>
        <v>66000</v>
      </c>
      <c r="L20" s="209">
        <f t="shared" si="7"/>
        <v>66000</v>
      </c>
      <c r="M20" s="209">
        <f t="shared" si="7"/>
        <v>66000</v>
      </c>
      <c r="N20" s="210">
        <f t="shared" si="7"/>
        <v>66000</v>
      </c>
    </row>
    <row r="21" spans="1:14">
      <c r="A21" s="408"/>
      <c r="B21" s="211" t="s">
        <v>80</v>
      </c>
      <c r="C21" s="203">
        <f t="shared" ref="C21:N21" si="8">C13*12%</f>
        <v>198000</v>
      </c>
      <c r="D21" s="209">
        <f t="shared" si="8"/>
        <v>198000</v>
      </c>
      <c r="E21" s="209">
        <f t="shared" si="8"/>
        <v>198000</v>
      </c>
      <c r="F21" s="209">
        <f t="shared" si="8"/>
        <v>198000</v>
      </c>
      <c r="G21" s="209">
        <f t="shared" si="8"/>
        <v>198000</v>
      </c>
      <c r="H21" s="209">
        <f t="shared" si="8"/>
        <v>198000</v>
      </c>
      <c r="I21" s="209">
        <f t="shared" si="8"/>
        <v>198000</v>
      </c>
      <c r="J21" s="209">
        <f t="shared" si="8"/>
        <v>198000</v>
      </c>
      <c r="K21" s="209">
        <f t="shared" si="8"/>
        <v>198000</v>
      </c>
      <c r="L21" s="209">
        <f t="shared" si="8"/>
        <v>198000</v>
      </c>
      <c r="M21" s="209">
        <f t="shared" si="8"/>
        <v>198000</v>
      </c>
      <c r="N21" s="210">
        <f t="shared" si="8"/>
        <v>198000</v>
      </c>
    </row>
    <row r="22" spans="1:14">
      <c r="A22" s="198"/>
      <c r="B22" s="211"/>
      <c r="C22" s="203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1"/>
    </row>
    <row r="23" spans="1:14">
      <c r="A23" s="198" t="s">
        <v>83</v>
      </c>
      <c r="B23" s="212">
        <v>1</v>
      </c>
      <c r="C23" s="203">
        <f>IF(B23=C2,D2*C13,IF(B23=C3,D3*C13,IF(B23=C4,D4*C13,0)))</f>
        <v>8613</v>
      </c>
      <c r="D23" s="209">
        <f>IF(B23=C2,D2*C13,IF(B23=C3,D3*C13,IF(B23=C4,D4*C13,0)))</f>
        <v>8613</v>
      </c>
      <c r="E23" s="209">
        <f>IF(B23=C2,D2*C13,IF(B23=C3,D3*C13,IF(B23=C4,D4*C13,0)))</f>
        <v>8613</v>
      </c>
      <c r="F23" s="209">
        <f>IF(B23=C2,D2*C13,IF(B23=C3,D3*C13,IF(B23=C4,D4*C13,0)))</f>
        <v>8613</v>
      </c>
      <c r="G23" s="209">
        <f>IF(B23=C2,D2*C13,IF(B23=C3,D3*C13,IF(B23=C4,D4*C13,0)))</f>
        <v>8613</v>
      </c>
      <c r="H23" s="209">
        <f>IF(B23=C2,D2*C13,IF(B23=C3,D3*C13,IF(B23=C4,D4*C13,0)))</f>
        <v>8613</v>
      </c>
      <c r="I23" s="209">
        <f>IF(B23=C2,D2*C13,IF(B23=C3,D3*C13,IF(B23=C4,D4*C13,0)))</f>
        <v>8613</v>
      </c>
      <c r="J23" s="209">
        <f>IF(B23=C2,D2*C13,IF(B23=C3,D3*C13,IF(B23=C4,D4*C13,0)))</f>
        <v>8613</v>
      </c>
      <c r="K23" s="209">
        <f>IF(B23=C2,D2*C13,IF(B23=C3,D3*C13,IF(B23=C4,D4*C13,0)))</f>
        <v>8613</v>
      </c>
      <c r="L23" s="209">
        <f>IF(B23=C2,D2*C13,IF(B23=C3,D3*C13,IF(B23=C4,D4*C13,0)))</f>
        <v>8613</v>
      </c>
      <c r="M23" s="209">
        <f>IF(B23=C2,D2*C13,IF(B23=C3,D3*C13,IF(B23=C4,D4*C13,0)))</f>
        <v>8613</v>
      </c>
      <c r="N23" s="210">
        <f>IF(B23=C2,D2*C13,IF(B23=C3,D3*C13,IF(B23=C4,D4*C13,0)))</f>
        <v>8613</v>
      </c>
    </row>
    <row r="24" spans="1:14">
      <c r="A24" s="198"/>
      <c r="B24" s="211"/>
      <c r="C24" s="203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201"/>
    </row>
    <row r="25" spans="1:14">
      <c r="A25" s="198"/>
      <c r="B25" s="211"/>
      <c r="C25" s="203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201"/>
    </row>
    <row r="26" spans="1:14">
      <c r="A26" s="408" t="s">
        <v>84</v>
      </c>
      <c r="B26" s="211" t="s">
        <v>85</v>
      </c>
      <c r="C26" s="203">
        <f t="shared" ref="C26:N26" si="9">2%*C13</f>
        <v>33000</v>
      </c>
      <c r="D26" s="209">
        <f t="shared" si="9"/>
        <v>33000</v>
      </c>
      <c r="E26" s="209">
        <f t="shared" si="9"/>
        <v>33000</v>
      </c>
      <c r="F26" s="209">
        <f t="shared" si="9"/>
        <v>33000</v>
      </c>
      <c r="G26" s="209">
        <f t="shared" si="9"/>
        <v>33000</v>
      </c>
      <c r="H26" s="209">
        <f t="shared" si="9"/>
        <v>33000</v>
      </c>
      <c r="I26" s="209">
        <f t="shared" si="9"/>
        <v>33000</v>
      </c>
      <c r="J26" s="209">
        <f t="shared" si="9"/>
        <v>33000</v>
      </c>
      <c r="K26" s="209">
        <f t="shared" si="9"/>
        <v>33000</v>
      </c>
      <c r="L26" s="209">
        <f t="shared" si="9"/>
        <v>33000</v>
      </c>
      <c r="M26" s="209">
        <f t="shared" si="9"/>
        <v>33000</v>
      </c>
      <c r="N26" s="210">
        <f t="shared" si="9"/>
        <v>33000</v>
      </c>
    </row>
    <row r="27" spans="1:14">
      <c r="A27" s="408"/>
      <c r="B27" s="211" t="s">
        <v>86</v>
      </c>
      <c r="C27" s="203">
        <f t="shared" ref="C27:N27" si="10">C13*3%</f>
        <v>49500</v>
      </c>
      <c r="D27" s="209">
        <f t="shared" si="10"/>
        <v>49500</v>
      </c>
      <c r="E27" s="209">
        <f t="shared" si="10"/>
        <v>49500</v>
      </c>
      <c r="F27" s="209">
        <f t="shared" si="10"/>
        <v>49500</v>
      </c>
      <c r="G27" s="209">
        <f t="shared" si="10"/>
        <v>49500</v>
      </c>
      <c r="H27" s="209">
        <f t="shared" si="10"/>
        <v>49500</v>
      </c>
      <c r="I27" s="209">
        <f t="shared" si="10"/>
        <v>49500</v>
      </c>
      <c r="J27" s="209">
        <f t="shared" si="10"/>
        <v>49500</v>
      </c>
      <c r="K27" s="209">
        <f t="shared" si="10"/>
        <v>49500</v>
      </c>
      <c r="L27" s="209">
        <f t="shared" si="10"/>
        <v>49500</v>
      </c>
      <c r="M27" s="209">
        <f t="shared" si="10"/>
        <v>49500</v>
      </c>
      <c r="N27" s="210">
        <f t="shared" si="10"/>
        <v>49500</v>
      </c>
    </row>
    <row r="28" spans="1:14">
      <c r="A28" s="408"/>
      <c r="B28" s="211" t="s">
        <v>87</v>
      </c>
      <c r="C28" s="203">
        <f t="shared" ref="C28:N28" si="11">C13*4%</f>
        <v>66000</v>
      </c>
      <c r="D28" s="209">
        <f t="shared" si="11"/>
        <v>66000</v>
      </c>
      <c r="E28" s="209">
        <f t="shared" si="11"/>
        <v>66000</v>
      </c>
      <c r="F28" s="209">
        <f t="shared" si="11"/>
        <v>66000</v>
      </c>
      <c r="G28" s="209">
        <f t="shared" si="11"/>
        <v>66000</v>
      </c>
      <c r="H28" s="209">
        <f t="shared" si="11"/>
        <v>66000</v>
      </c>
      <c r="I28" s="209">
        <f t="shared" si="11"/>
        <v>66000</v>
      </c>
      <c r="J28" s="209">
        <f t="shared" si="11"/>
        <v>66000</v>
      </c>
      <c r="K28" s="209">
        <f t="shared" si="11"/>
        <v>66000</v>
      </c>
      <c r="L28" s="209">
        <f t="shared" si="11"/>
        <v>66000</v>
      </c>
      <c r="M28" s="209">
        <f t="shared" si="11"/>
        <v>66000</v>
      </c>
      <c r="N28" s="210">
        <f t="shared" si="11"/>
        <v>66000</v>
      </c>
    </row>
    <row r="29" spans="1:14">
      <c r="A29" s="198"/>
      <c r="B29" s="211"/>
      <c r="C29" s="203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01"/>
    </row>
    <row r="30" spans="1:14">
      <c r="A30" s="198"/>
      <c r="B30" s="211" t="s">
        <v>88</v>
      </c>
      <c r="C30" s="203">
        <f t="shared" ref="C30:N30" si="12">C12*(25/3)%</f>
        <v>146071.16666666669</v>
      </c>
      <c r="D30" s="209">
        <f t="shared" si="12"/>
        <v>146071.16666666669</v>
      </c>
      <c r="E30" s="209">
        <f>E12*(25/3)%</f>
        <v>146071.16666666669</v>
      </c>
      <c r="F30" s="209">
        <f t="shared" si="12"/>
        <v>146071.16666666669</v>
      </c>
      <c r="G30" s="209">
        <f t="shared" si="12"/>
        <v>146071.16666666669</v>
      </c>
      <c r="H30" s="209">
        <f t="shared" si="12"/>
        <v>146071.16666666669</v>
      </c>
      <c r="I30" s="209">
        <f t="shared" si="12"/>
        <v>146071.16666666669</v>
      </c>
      <c r="J30" s="209">
        <f t="shared" si="12"/>
        <v>146071.16666666669</v>
      </c>
      <c r="K30" s="209">
        <f t="shared" si="12"/>
        <v>146071.16666666669</v>
      </c>
      <c r="L30" s="209">
        <f t="shared" si="12"/>
        <v>146071.16666666669</v>
      </c>
      <c r="M30" s="209">
        <f t="shared" si="12"/>
        <v>146071.16666666669</v>
      </c>
      <c r="N30" s="210">
        <f t="shared" si="12"/>
        <v>146071.16666666669</v>
      </c>
    </row>
    <row r="31" spans="1:14">
      <c r="A31" s="198"/>
      <c r="B31" s="211" t="s">
        <v>89</v>
      </c>
      <c r="C31" s="203">
        <f t="shared" ref="C31:N31" si="13">C12*(25/3)%</f>
        <v>146071.16666666669</v>
      </c>
      <c r="D31" s="209">
        <f t="shared" si="13"/>
        <v>146071.16666666669</v>
      </c>
      <c r="E31" s="209">
        <f t="shared" si="13"/>
        <v>146071.16666666669</v>
      </c>
      <c r="F31" s="209">
        <f t="shared" si="13"/>
        <v>146071.16666666669</v>
      </c>
      <c r="G31" s="209">
        <f t="shared" si="13"/>
        <v>146071.16666666669</v>
      </c>
      <c r="H31" s="209">
        <f t="shared" si="13"/>
        <v>146071.16666666669</v>
      </c>
      <c r="I31" s="209">
        <f t="shared" si="13"/>
        <v>146071.16666666669</v>
      </c>
      <c r="J31" s="209">
        <f t="shared" si="13"/>
        <v>146071.16666666669</v>
      </c>
      <c r="K31" s="209">
        <f t="shared" si="13"/>
        <v>146071.16666666669</v>
      </c>
      <c r="L31" s="209">
        <f t="shared" si="13"/>
        <v>146071.16666666669</v>
      </c>
      <c r="M31" s="209">
        <f t="shared" si="13"/>
        <v>146071.16666666669</v>
      </c>
      <c r="N31" s="210">
        <f t="shared" si="13"/>
        <v>146071.16666666669</v>
      </c>
    </row>
    <row r="32" spans="1:14">
      <c r="A32" s="198"/>
      <c r="B32" s="211" t="s">
        <v>90</v>
      </c>
      <c r="C32" s="203">
        <f t="shared" ref="C32:N32" si="14">C31*12%</f>
        <v>17528.54</v>
      </c>
      <c r="D32" s="209">
        <f t="shared" si="14"/>
        <v>17528.54</v>
      </c>
      <c r="E32" s="209">
        <f t="shared" si="14"/>
        <v>17528.54</v>
      </c>
      <c r="F32" s="209">
        <f t="shared" si="14"/>
        <v>17528.54</v>
      </c>
      <c r="G32" s="209">
        <f t="shared" si="14"/>
        <v>17528.54</v>
      </c>
      <c r="H32" s="209">
        <f t="shared" si="14"/>
        <v>17528.54</v>
      </c>
      <c r="I32" s="209">
        <f t="shared" si="14"/>
        <v>17528.54</v>
      </c>
      <c r="J32" s="209">
        <f t="shared" si="14"/>
        <v>17528.54</v>
      </c>
      <c r="K32" s="209">
        <f t="shared" si="14"/>
        <v>17528.54</v>
      </c>
      <c r="L32" s="209">
        <f t="shared" si="14"/>
        <v>17528.54</v>
      </c>
      <c r="M32" s="209">
        <f t="shared" si="14"/>
        <v>17528.54</v>
      </c>
      <c r="N32" s="210">
        <f t="shared" si="14"/>
        <v>17528.54</v>
      </c>
    </row>
    <row r="33" spans="1:14">
      <c r="A33" s="198"/>
      <c r="B33" s="211" t="s">
        <v>91</v>
      </c>
      <c r="C33" s="203">
        <f t="shared" ref="C33:N33" si="15">C6*(25/6)%</f>
        <v>68750.000000000015</v>
      </c>
      <c r="D33" s="209">
        <f t="shared" si="15"/>
        <v>68750.000000000015</v>
      </c>
      <c r="E33" s="209">
        <f t="shared" si="15"/>
        <v>68750.000000000015</v>
      </c>
      <c r="F33" s="209">
        <f t="shared" si="15"/>
        <v>68750.000000000015</v>
      </c>
      <c r="G33" s="209">
        <f t="shared" si="15"/>
        <v>68750.000000000015</v>
      </c>
      <c r="H33" s="209">
        <f t="shared" si="15"/>
        <v>68750.000000000015</v>
      </c>
      <c r="I33" s="209">
        <f t="shared" si="15"/>
        <v>68750.000000000015</v>
      </c>
      <c r="J33" s="209">
        <f t="shared" si="15"/>
        <v>68750.000000000015</v>
      </c>
      <c r="K33" s="209">
        <f t="shared" si="15"/>
        <v>68750.000000000015</v>
      </c>
      <c r="L33" s="209">
        <f t="shared" si="15"/>
        <v>68750.000000000015</v>
      </c>
      <c r="M33" s="209">
        <f t="shared" si="15"/>
        <v>68750.000000000015</v>
      </c>
      <c r="N33" s="210">
        <f t="shared" si="15"/>
        <v>68750.000000000015</v>
      </c>
    </row>
    <row r="34" spans="1:14">
      <c r="A34" s="198"/>
      <c r="B34" s="199"/>
      <c r="C34" s="203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01"/>
    </row>
    <row r="35" spans="1:14">
      <c r="A35" s="198"/>
      <c r="B35" s="199" t="s">
        <v>92</v>
      </c>
      <c r="C35" s="203">
        <f t="shared" ref="C35:N35" si="16">SUM(C15,C17:C33)</f>
        <v>2626637.8733333331</v>
      </c>
      <c r="D35" s="209">
        <f t="shared" si="16"/>
        <v>2626637.8733333331</v>
      </c>
      <c r="E35" s="209">
        <f t="shared" si="16"/>
        <v>2626637.8733333331</v>
      </c>
      <c r="F35" s="209">
        <f t="shared" si="16"/>
        <v>2626637.8733333331</v>
      </c>
      <c r="G35" s="209">
        <f t="shared" si="16"/>
        <v>2626637.8733333331</v>
      </c>
      <c r="H35" s="209">
        <f t="shared" si="16"/>
        <v>2626637.8733333331</v>
      </c>
      <c r="I35" s="209">
        <f t="shared" si="16"/>
        <v>2626637.8733333331</v>
      </c>
      <c r="J35" s="209">
        <f t="shared" si="16"/>
        <v>2626637.8733333331</v>
      </c>
      <c r="K35" s="209">
        <f t="shared" si="16"/>
        <v>2626637.8733333331</v>
      </c>
      <c r="L35" s="209">
        <f t="shared" si="16"/>
        <v>2626637.8733333331</v>
      </c>
      <c r="M35" s="209">
        <f t="shared" si="16"/>
        <v>2626637.8733333331</v>
      </c>
      <c r="N35" s="210">
        <f t="shared" si="16"/>
        <v>2626637.8733333331</v>
      </c>
    </row>
    <row r="36" spans="1:14">
      <c r="A36" s="198"/>
      <c r="B36" s="199" t="s">
        <v>93</v>
      </c>
      <c r="C36" s="203">
        <f>C35-SUM(C30:C33)</f>
        <v>2248216.9999999995</v>
      </c>
      <c r="D36" s="209">
        <f t="shared" ref="D36:N36" si="17">D35-SUM(D30:D33)</f>
        <v>2248216.9999999995</v>
      </c>
      <c r="E36" s="209">
        <f t="shared" si="17"/>
        <v>2248216.9999999995</v>
      </c>
      <c r="F36" s="209">
        <f t="shared" si="17"/>
        <v>2248216.9999999995</v>
      </c>
      <c r="G36" s="209">
        <f t="shared" si="17"/>
        <v>2248216.9999999995</v>
      </c>
      <c r="H36" s="209">
        <f t="shared" si="17"/>
        <v>2248216.9999999995</v>
      </c>
      <c r="I36" s="209">
        <f t="shared" si="17"/>
        <v>2248216.9999999995</v>
      </c>
      <c r="J36" s="209">
        <f t="shared" si="17"/>
        <v>2248216.9999999995</v>
      </c>
      <c r="K36" s="209">
        <f t="shared" si="17"/>
        <v>2248216.9999999995</v>
      </c>
      <c r="L36" s="209">
        <f t="shared" si="17"/>
        <v>2248216.9999999995</v>
      </c>
      <c r="M36" s="209">
        <f t="shared" si="17"/>
        <v>2248216.9999999995</v>
      </c>
      <c r="N36" s="210">
        <f t="shared" si="17"/>
        <v>2248216.9999999995</v>
      </c>
    </row>
    <row r="37" spans="1:14">
      <c r="A37" s="198"/>
      <c r="B37" s="199" t="s">
        <v>94</v>
      </c>
      <c r="C37" s="213">
        <v>2</v>
      </c>
      <c r="D37" s="213">
        <f>C37</f>
        <v>2</v>
      </c>
      <c r="E37" s="213">
        <f t="shared" ref="E37:N37" si="18">D37</f>
        <v>2</v>
      </c>
      <c r="F37" s="213">
        <f t="shared" si="18"/>
        <v>2</v>
      </c>
      <c r="G37" s="213">
        <f t="shared" si="18"/>
        <v>2</v>
      </c>
      <c r="H37" s="213">
        <f t="shared" si="18"/>
        <v>2</v>
      </c>
      <c r="I37" s="213">
        <f t="shared" si="18"/>
        <v>2</v>
      </c>
      <c r="J37" s="213">
        <f t="shared" si="18"/>
        <v>2</v>
      </c>
      <c r="K37" s="213">
        <f t="shared" si="18"/>
        <v>2</v>
      </c>
      <c r="L37" s="213">
        <f t="shared" si="18"/>
        <v>2</v>
      </c>
      <c r="M37" s="213">
        <f t="shared" si="18"/>
        <v>2</v>
      </c>
      <c r="N37" s="214">
        <f t="shared" si="18"/>
        <v>2</v>
      </c>
    </row>
    <row r="38" spans="1:14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201"/>
    </row>
    <row r="39" spans="1:14">
      <c r="A39" s="198"/>
      <c r="B39" s="199"/>
      <c r="C39" s="200">
        <f>(C35*100%/C13)-1</f>
        <v>0.5919017414141412</v>
      </c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1"/>
    </row>
    <row r="40" spans="1:14">
      <c r="A40" s="198"/>
      <c r="B40" s="199"/>
      <c r="C40" s="206" t="s">
        <v>55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01"/>
    </row>
    <row r="41" spans="1:1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01"/>
    </row>
    <row r="42" spans="1:14">
      <c r="A42" s="198"/>
      <c r="B42" s="199"/>
      <c r="C42" s="199" t="s">
        <v>93</v>
      </c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201"/>
    </row>
    <row r="43" spans="1:14">
      <c r="A43" s="198"/>
      <c r="B43" s="199"/>
      <c r="C43" s="199" t="s">
        <v>95</v>
      </c>
      <c r="D43" s="199">
        <v>1</v>
      </c>
      <c r="E43" s="199">
        <v>2</v>
      </c>
      <c r="F43" s="199">
        <v>3</v>
      </c>
      <c r="G43" s="199">
        <v>4</v>
      </c>
      <c r="H43" s="199"/>
      <c r="I43" s="199"/>
      <c r="J43" s="199"/>
      <c r="K43" s="199"/>
      <c r="L43" s="199"/>
      <c r="M43" s="199"/>
      <c r="N43" s="201"/>
    </row>
    <row r="44" spans="1:14">
      <c r="A44" s="198"/>
      <c r="B44" s="199"/>
      <c r="C44" s="199"/>
      <c r="D44" s="209">
        <f>SUM(C36:E36)</f>
        <v>6744650.9999999981</v>
      </c>
      <c r="E44" s="209">
        <f>SUM(F36:H36,C30:H30)</f>
        <v>7621078</v>
      </c>
      <c r="F44" s="209">
        <f>SUM(I36:K36)</f>
        <v>6744650.9999999981</v>
      </c>
      <c r="G44" s="209">
        <f>SUM(L36:N36,C33:N33,C32:N32,C31:N31,I30:N30)</f>
        <v>10409274.479999991</v>
      </c>
      <c r="H44" s="199"/>
      <c r="I44" s="199"/>
      <c r="J44" s="199"/>
      <c r="K44" s="199"/>
      <c r="L44" s="199"/>
      <c r="M44" s="199"/>
      <c r="N44" s="201"/>
    </row>
    <row r="45" spans="1:14">
      <c r="A45" s="198"/>
      <c r="B45" s="199"/>
      <c r="C45" s="199"/>
      <c r="D45" s="215">
        <f>D44*$C$37</f>
        <v>13489301.999999996</v>
      </c>
      <c r="E45" s="215">
        <f t="shared" ref="E45:G45" si="19">E44*$C$37</f>
        <v>15242156</v>
      </c>
      <c r="F45" s="215">
        <f t="shared" si="19"/>
        <v>13489301.999999996</v>
      </c>
      <c r="G45" s="215">
        <f t="shared" si="19"/>
        <v>20818548.959999982</v>
      </c>
      <c r="H45" s="199"/>
      <c r="I45" s="199"/>
      <c r="J45" s="199"/>
      <c r="K45" s="199"/>
      <c r="L45" s="199"/>
      <c r="M45" s="199"/>
      <c r="N45" s="201"/>
    </row>
    <row r="46" spans="1:14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1"/>
    </row>
    <row r="47" spans="1:14">
      <c r="A47" s="198"/>
      <c r="B47" s="199" t="s">
        <v>96</v>
      </c>
      <c r="C47" s="216">
        <f>SUM(C15,C17:C18,C20:C21,C23,C26:C28)</f>
        <v>2248217</v>
      </c>
      <c r="D47" s="216">
        <f>SUM(D15,D17:D18,D20:D21,D23,D26:D28)</f>
        <v>2248217</v>
      </c>
      <c r="E47" s="216">
        <f>SUM(E15,E17:E18,E20:E21,E23,E26:E28)</f>
        <v>2248217</v>
      </c>
      <c r="F47" s="216">
        <f>SUM(F15,F17:F18,F20:F21,F23,F26:F28)</f>
        <v>2248217</v>
      </c>
      <c r="G47" s="216">
        <f>SUM(G15,G17:G18,G20:G21,G23,G26:G28)</f>
        <v>2248217</v>
      </c>
      <c r="H47" s="216">
        <f>SUM(H15,H17:H18,H20:H21,H23,H26:H28,C30:H30)</f>
        <v>3124643.9999999991</v>
      </c>
      <c r="I47" s="216">
        <f>SUM(I15,I17:I18,I20:I21,I23,I26:I28)</f>
        <v>2248217</v>
      </c>
      <c r="J47" s="216">
        <f t="shared" ref="J47:M47" si="20">SUM(J15,J17:J18,J20:J21,J23,J26:J28)</f>
        <v>2248217</v>
      </c>
      <c r="K47" s="216">
        <f t="shared" si="20"/>
        <v>2248217</v>
      </c>
      <c r="L47" s="216">
        <f t="shared" si="20"/>
        <v>2248217</v>
      </c>
      <c r="M47" s="216">
        <f t="shared" si="20"/>
        <v>2248217</v>
      </c>
      <c r="N47" s="217">
        <f>SUM(N15,N17:N18,N20:N21,N23,N26:N28,I30:N30,C33:N33)</f>
        <v>3949643.9999999991</v>
      </c>
    </row>
    <row r="48" spans="1:14" ht="15.75" thickBot="1">
      <c r="A48" s="218"/>
      <c r="B48" s="219" t="s">
        <v>97</v>
      </c>
      <c r="C48" s="220">
        <f>SUM(C47:N47)</f>
        <v>29556458</v>
      </c>
      <c r="D48" s="221">
        <f>C48*4</f>
        <v>118225832</v>
      </c>
      <c r="E48" s="219"/>
      <c r="F48" s="219"/>
      <c r="G48" s="219"/>
      <c r="H48" s="219"/>
      <c r="I48" s="219"/>
      <c r="J48" s="219"/>
      <c r="K48" s="219"/>
      <c r="L48" s="219"/>
      <c r="M48" s="219"/>
      <c r="N48" s="222"/>
    </row>
    <row r="49" spans="1:14">
      <c r="A49" s="223" t="s">
        <v>98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5"/>
    </row>
    <row r="50" spans="1:14">
      <c r="A50" s="226"/>
      <c r="B50" s="227" t="s">
        <v>68</v>
      </c>
      <c r="C50" s="227">
        <v>1</v>
      </c>
      <c r="D50" s="228">
        <f>0.00522</f>
        <v>5.2199999999999998E-3</v>
      </c>
      <c r="E50" s="227"/>
      <c r="F50" s="227"/>
      <c r="G50" s="227"/>
      <c r="H50" s="227"/>
      <c r="I50" s="227"/>
      <c r="J50" s="227"/>
      <c r="K50" s="227"/>
      <c r="L50" s="227"/>
      <c r="M50" s="227"/>
      <c r="N50" s="229"/>
    </row>
    <row r="51" spans="1:14">
      <c r="A51" s="226"/>
      <c r="B51" s="227"/>
      <c r="C51" s="227">
        <v>2</v>
      </c>
      <c r="D51" s="228">
        <f>1.044%</f>
        <v>1.044E-2</v>
      </c>
      <c r="E51" s="227"/>
      <c r="F51" s="227"/>
      <c r="G51" s="227"/>
      <c r="H51" s="227"/>
      <c r="I51" s="227"/>
      <c r="J51" s="227"/>
      <c r="K51" s="227"/>
      <c r="L51" s="227"/>
      <c r="M51" s="227"/>
      <c r="N51" s="229"/>
    </row>
    <row r="52" spans="1:14">
      <c r="A52" s="226"/>
      <c r="B52" s="227"/>
      <c r="C52" s="227">
        <v>3</v>
      </c>
      <c r="D52" s="230">
        <v>2.436E-2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29"/>
    </row>
    <row r="53" spans="1:14">
      <c r="A53" s="226"/>
      <c r="B53" s="227" t="s">
        <v>101</v>
      </c>
      <c r="C53" s="231">
        <v>7.0000000000000007E-2</v>
      </c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9"/>
    </row>
    <row r="54" spans="1:14">
      <c r="A54" s="226"/>
      <c r="B54" s="227" t="s">
        <v>69</v>
      </c>
      <c r="C54" s="232">
        <f>C6*(1+C53)</f>
        <v>1765500</v>
      </c>
      <c r="D54" s="232">
        <f>C54</f>
        <v>1765500</v>
      </c>
      <c r="E54" s="232">
        <f t="shared" ref="E54:N54" si="21">D54</f>
        <v>1765500</v>
      </c>
      <c r="F54" s="232">
        <f t="shared" si="21"/>
        <v>1765500</v>
      </c>
      <c r="G54" s="232">
        <f t="shared" si="21"/>
        <v>1765500</v>
      </c>
      <c r="H54" s="232">
        <f t="shared" si="21"/>
        <v>1765500</v>
      </c>
      <c r="I54" s="232">
        <f t="shared" si="21"/>
        <v>1765500</v>
      </c>
      <c r="J54" s="232">
        <f t="shared" si="21"/>
        <v>1765500</v>
      </c>
      <c r="K54" s="232">
        <f t="shared" si="21"/>
        <v>1765500</v>
      </c>
      <c r="L54" s="232">
        <f t="shared" si="21"/>
        <v>1765500</v>
      </c>
      <c r="M54" s="232">
        <f t="shared" si="21"/>
        <v>1765500</v>
      </c>
      <c r="N54" s="233">
        <f t="shared" si="21"/>
        <v>1765500</v>
      </c>
    </row>
    <row r="55" spans="1:14">
      <c r="A55" s="226"/>
      <c r="B55" s="227" t="s">
        <v>70</v>
      </c>
      <c r="C55" s="232">
        <f>IF(C54&lt;2*908526,106454,0)</f>
        <v>106454</v>
      </c>
      <c r="D55" s="232">
        <f t="shared" ref="D55:N55" si="22">IF(D54&lt;2*908526,106454,0)</f>
        <v>106454</v>
      </c>
      <c r="E55" s="232">
        <f t="shared" si="22"/>
        <v>106454</v>
      </c>
      <c r="F55" s="232">
        <f t="shared" si="22"/>
        <v>106454</v>
      </c>
      <c r="G55" s="232">
        <f t="shared" si="22"/>
        <v>106454</v>
      </c>
      <c r="H55" s="232">
        <f t="shared" si="22"/>
        <v>106454</v>
      </c>
      <c r="I55" s="232">
        <f t="shared" si="22"/>
        <v>106454</v>
      </c>
      <c r="J55" s="232">
        <f t="shared" si="22"/>
        <v>106454</v>
      </c>
      <c r="K55" s="232">
        <f t="shared" si="22"/>
        <v>106454</v>
      </c>
      <c r="L55" s="232">
        <f t="shared" si="22"/>
        <v>106454</v>
      </c>
      <c r="M55" s="232">
        <f t="shared" si="22"/>
        <v>106454</v>
      </c>
      <c r="N55" s="232">
        <f t="shared" si="22"/>
        <v>106454</v>
      </c>
    </row>
    <row r="56" spans="1:14">
      <c r="A56" s="234"/>
      <c r="B56" s="227" t="s">
        <v>71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235">
        <v>0</v>
      </c>
      <c r="L56" s="235">
        <v>0</v>
      </c>
      <c r="M56" s="235">
        <v>0</v>
      </c>
      <c r="N56" s="236">
        <v>0</v>
      </c>
    </row>
    <row r="57" spans="1:14">
      <c r="A57" s="226"/>
      <c r="B57" s="227" t="s">
        <v>72</v>
      </c>
      <c r="C57" s="237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6"/>
    </row>
    <row r="58" spans="1:14">
      <c r="A58" s="226"/>
      <c r="B58" s="227" t="s">
        <v>73</v>
      </c>
      <c r="C58" s="237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6"/>
    </row>
    <row r="59" spans="1:14">
      <c r="A59" s="226"/>
      <c r="B59" s="227"/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</row>
    <row r="60" spans="1:14">
      <c r="A60" s="409" t="s">
        <v>74</v>
      </c>
      <c r="B60" s="227" t="s">
        <v>75</v>
      </c>
      <c r="C60" s="232">
        <f t="shared" ref="C60:E60" si="23">SUM(C54:C58)</f>
        <v>1871954</v>
      </c>
      <c r="D60" s="235">
        <f t="shared" si="23"/>
        <v>1871954</v>
      </c>
      <c r="E60" s="235">
        <f t="shared" si="23"/>
        <v>1871954</v>
      </c>
      <c r="F60" s="235">
        <f>SUM(F54:F58)</f>
        <v>1871954</v>
      </c>
      <c r="G60" s="235">
        <f t="shared" ref="G60:N60" si="24">SUM(G54:G58)</f>
        <v>1871954</v>
      </c>
      <c r="H60" s="235">
        <f t="shared" si="24"/>
        <v>1871954</v>
      </c>
      <c r="I60" s="235">
        <f t="shared" si="24"/>
        <v>1871954</v>
      </c>
      <c r="J60" s="235">
        <f t="shared" si="24"/>
        <v>1871954</v>
      </c>
      <c r="K60" s="235">
        <f t="shared" si="24"/>
        <v>1871954</v>
      </c>
      <c r="L60" s="235">
        <f t="shared" si="24"/>
        <v>1871954</v>
      </c>
      <c r="M60" s="235">
        <f t="shared" si="24"/>
        <v>1871954</v>
      </c>
      <c r="N60" s="236">
        <f t="shared" si="24"/>
        <v>1871954</v>
      </c>
    </row>
    <row r="61" spans="1:14">
      <c r="A61" s="409"/>
      <c r="B61" s="227" t="s">
        <v>76</v>
      </c>
      <c r="C61" s="232">
        <f t="shared" ref="C61:N61" si="25">C60-C55</f>
        <v>1765500</v>
      </c>
      <c r="D61" s="238">
        <f t="shared" si="25"/>
        <v>1765500</v>
      </c>
      <c r="E61" s="238">
        <f t="shared" si="25"/>
        <v>1765500</v>
      </c>
      <c r="F61" s="238">
        <f t="shared" si="25"/>
        <v>1765500</v>
      </c>
      <c r="G61" s="238">
        <f t="shared" si="25"/>
        <v>1765500</v>
      </c>
      <c r="H61" s="238">
        <f t="shared" si="25"/>
        <v>1765500</v>
      </c>
      <c r="I61" s="238">
        <f t="shared" si="25"/>
        <v>1765500</v>
      </c>
      <c r="J61" s="238">
        <f t="shared" si="25"/>
        <v>1765500</v>
      </c>
      <c r="K61" s="238">
        <f t="shared" si="25"/>
        <v>1765500</v>
      </c>
      <c r="L61" s="238">
        <f t="shared" si="25"/>
        <v>1765500</v>
      </c>
      <c r="M61" s="238">
        <f t="shared" si="25"/>
        <v>1765500</v>
      </c>
      <c r="N61" s="239">
        <f t="shared" si="25"/>
        <v>1765500</v>
      </c>
    </row>
    <row r="62" spans="1:14">
      <c r="A62" s="226"/>
      <c r="B62" s="227"/>
      <c r="C62" s="232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9"/>
    </row>
    <row r="63" spans="1:14">
      <c r="A63" s="226"/>
      <c r="B63" s="227" t="s">
        <v>77</v>
      </c>
      <c r="C63" s="232">
        <f t="shared" ref="C63:N63" si="26">C60-C65-C68</f>
        <v>1730714</v>
      </c>
      <c r="D63" s="238">
        <f t="shared" si="26"/>
        <v>1730714</v>
      </c>
      <c r="E63" s="238">
        <f t="shared" si="26"/>
        <v>1730714</v>
      </c>
      <c r="F63" s="238">
        <f t="shared" si="26"/>
        <v>1730714</v>
      </c>
      <c r="G63" s="238">
        <f t="shared" si="26"/>
        <v>1730714</v>
      </c>
      <c r="H63" s="238">
        <f t="shared" si="26"/>
        <v>1730714</v>
      </c>
      <c r="I63" s="238">
        <f t="shared" si="26"/>
        <v>1730714</v>
      </c>
      <c r="J63" s="238">
        <f t="shared" si="26"/>
        <v>1730714</v>
      </c>
      <c r="K63" s="238">
        <f t="shared" si="26"/>
        <v>1730714</v>
      </c>
      <c r="L63" s="238">
        <f t="shared" si="26"/>
        <v>1730714</v>
      </c>
      <c r="M63" s="238">
        <f t="shared" si="26"/>
        <v>1730714</v>
      </c>
      <c r="N63" s="239">
        <f t="shared" si="26"/>
        <v>1730714</v>
      </c>
    </row>
    <row r="64" spans="1:14">
      <c r="A64" s="226"/>
      <c r="B64" s="227"/>
      <c r="C64" s="232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9"/>
    </row>
    <row r="65" spans="1:14">
      <c r="A65" s="410" t="s">
        <v>78</v>
      </c>
      <c r="B65" s="240" t="s">
        <v>79</v>
      </c>
      <c r="C65" s="232">
        <f t="shared" ref="C65:N65" si="27">C61*4%</f>
        <v>70620</v>
      </c>
      <c r="D65" s="238">
        <f t="shared" si="27"/>
        <v>70620</v>
      </c>
      <c r="E65" s="238">
        <f t="shared" si="27"/>
        <v>70620</v>
      </c>
      <c r="F65" s="238">
        <f t="shared" si="27"/>
        <v>70620</v>
      </c>
      <c r="G65" s="238">
        <f t="shared" si="27"/>
        <v>70620</v>
      </c>
      <c r="H65" s="238">
        <f t="shared" si="27"/>
        <v>70620</v>
      </c>
      <c r="I65" s="238">
        <f t="shared" si="27"/>
        <v>70620</v>
      </c>
      <c r="J65" s="238">
        <f t="shared" si="27"/>
        <v>70620</v>
      </c>
      <c r="K65" s="238">
        <f t="shared" si="27"/>
        <v>70620</v>
      </c>
      <c r="L65" s="238">
        <f t="shared" si="27"/>
        <v>70620</v>
      </c>
      <c r="M65" s="238">
        <f t="shared" si="27"/>
        <v>70620</v>
      </c>
      <c r="N65" s="239">
        <f t="shared" si="27"/>
        <v>70620</v>
      </c>
    </row>
    <row r="66" spans="1:14">
      <c r="A66" s="410"/>
      <c r="B66" s="240" t="s">
        <v>80</v>
      </c>
      <c r="C66" s="232">
        <f t="shared" ref="C66:N66" si="28">C61*8.5%</f>
        <v>150067.5</v>
      </c>
      <c r="D66" s="238">
        <f t="shared" si="28"/>
        <v>150067.5</v>
      </c>
      <c r="E66" s="238">
        <f t="shared" si="28"/>
        <v>150067.5</v>
      </c>
      <c r="F66" s="238">
        <f t="shared" si="28"/>
        <v>150067.5</v>
      </c>
      <c r="G66" s="238">
        <f t="shared" si="28"/>
        <v>150067.5</v>
      </c>
      <c r="H66" s="238">
        <f t="shared" si="28"/>
        <v>150067.5</v>
      </c>
      <c r="I66" s="238">
        <f t="shared" si="28"/>
        <v>150067.5</v>
      </c>
      <c r="J66" s="238">
        <f t="shared" si="28"/>
        <v>150067.5</v>
      </c>
      <c r="K66" s="238">
        <f t="shared" si="28"/>
        <v>150067.5</v>
      </c>
      <c r="L66" s="238">
        <f t="shared" si="28"/>
        <v>150067.5</v>
      </c>
      <c r="M66" s="238">
        <f t="shared" si="28"/>
        <v>150067.5</v>
      </c>
      <c r="N66" s="239">
        <f t="shared" si="28"/>
        <v>150067.5</v>
      </c>
    </row>
    <row r="67" spans="1:14">
      <c r="A67" s="226"/>
      <c r="B67" s="240"/>
      <c r="C67" s="232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9"/>
    </row>
    <row r="68" spans="1:14">
      <c r="A68" s="410" t="s">
        <v>81</v>
      </c>
      <c r="B68" s="240" t="s">
        <v>82</v>
      </c>
      <c r="C68" s="232">
        <f t="shared" ref="C68:N68" si="29">C61*4%</f>
        <v>70620</v>
      </c>
      <c r="D68" s="238">
        <f t="shared" si="29"/>
        <v>70620</v>
      </c>
      <c r="E68" s="238">
        <f t="shared" si="29"/>
        <v>70620</v>
      </c>
      <c r="F68" s="238">
        <f t="shared" si="29"/>
        <v>70620</v>
      </c>
      <c r="G68" s="238">
        <f t="shared" si="29"/>
        <v>70620</v>
      </c>
      <c r="H68" s="238">
        <f t="shared" si="29"/>
        <v>70620</v>
      </c>
      <c r="I68" s="238">
        <f t="shared" si="29"/>
        <v>70620</v>
      </c>
      <c r="J68" s="238">
        <f t="shared" si="29"/>
        <v>70620</v>
      </c>
      <c r="K68" s="238">
        <f t="shared" si="29"/>
        <v>70620</v>
      </c>
      <c r="L68" s="238">
        <f t="shared" si="29"/>
        <v>70620</v>
      </c>
      <c r="M68" s="238">
        <f t="shared" si="29"/>
        <v>70620</v>
      </c>
      <c r="N68" s="239">
        <f t="shared" si="29"/>
        <v>70620</v>
      </c>
    </row>
    <row r="69" spans="1:14">
      <c r="A69" s="410"/>
      <c r="B69" s="240" t="s">
        <v>80</v>
      </c>
      <c r="C69" s="232">
        <f t="shared" ref="C69:N69" si="30">C61*12%</f>
        <v>211860</v>
      </c>
      <c r="D69" s="238">
        <f t="shared" si="30"/>
        <v>211860</v>
      </c>
      <c r="E69" s="238">
        <f t="shared" si="30"/>
        <v>211860</v>
      </c>
      <c r="F69" s="238">
        <f t="shared" si="30"/>
        <v>211860</v>
      </c>
      <c r="G69" s="238">
        <f t="shared" si="30"/>
        <v>211860</v>
      </c>
      <c r="H69" s="238">
        <f t="shared" si="30"/>
        <v>211860</v>
      </c>
      <c r="I69" s="238">
        <f t="shared" si="30"/>
        <v>211860</v>
      </c>
      <c r="J69" s="238">
        <f t="shared" si="30"/>
        <v>211860</v>
      </c>
      <c r="K69" s="238">
        <f t="shared" si="30"/>
        <v>211860</v>
      </c>
      <c r="L69" s="238">
        <f t="shared" si="30"/>
        <v>211860</v>
      </c>
      <c r="M69" s="238">
        <f t="shared" si="30"/>
        <v>211860</v>
      </c>
      <c r="N69" s="239">
        <f t="shared" si="30"/>
        <v>211860</v>
      </c>
    </row>
    <row r="70" spans="1:14">
      <c r="A70" s="226"/>
      <c r="B70" s="240"/>
      <c r="C70" s="232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9"/>
    </row>
    <row r="71" spans="1:14">
      <c r="A71" s="226" t="s">
        <v>83</v>
      </c>
      <c r="B71" s="241">
        <v>1</v>
      </c>
      <c r="C71" s="232">
        <f>IF(B71=C50,D50*C61,IF(B71=C51,D51*C61,IF(B71=C52,D52*C61,0)))</f>
        <v>9215.91</v>
      </c>
      <c r="D71" s="238">
        <f>IF(B71=C50,D50*C61,IF(B71=C51,D51*C61,IF(B71=C52,D52*C61,0)))</f>
        <v>9215.91</v>
      </c>
      <c r="E71" s="238">
        <f>IF(B71=C50,D50*C61,IF(B71=C51,D51*C61,IF(B71=C52,D52*C61,0)))</f>
        <v>9215.91</v>
      </c>
      <c r="F71" s="238">
        <f>IF(B71=C50,D50*C61,IF(B71=C51,D51*C61,IF(B71=C52,D52*C61,0)))</f>
        <v>9215.91</v>
      </c>
      <c r="G71" s="238">
        <f>IF(B71=C50,D50*C61,IF(B71=C51,D51*C61,IF(B71=C52,D52*C61,0)))</f>
        <v>9215.91</v>
      </c>
      <c r="H71" s="238">
        <f>IF(B71=C50,D50*C61,IF(B71=C51,D51*C61,IF(B71=C52,D52*C61,0)))</f>
        <v>9215.91</v>
      </c>
      <c r="I71" s="238">
        <f>IF(B71=C50,D50*C61,IF(B71=C51,D51*C61,IF(B71=C52,D52*C61,0)))</f>
        <v>9215.91</v>
      </c>
      <c r="J71" s="238">
        <f>IF(B71=C50,D50*C61,IF(B71=C51,D51*C61,IF(B71=C52,D52*C61,0)))</f>
        <v>9215.91</v>
      </c>
      <c r="K71" s="238">
        <f>IF(B71=C50,D50*C61,IF(B71=C51,D51*C61,IF(B71=C52,D52*C61,0)))</f>
        <v>9215.91</v>
      </c>
      <c r="L71" s="238">
        <f>IF(B71=C50,D50*C61,IF(B71=C51,D51*C61,IF(B71=C52,D52*C61,0)))</f>
        <v>9215.91</v>
      </c>
      <c r="M71" s="238">
        <f>IF(B71=C50,D50*C61,IF(B71=C51,D51*C61,IF(B71=C52,D52*C61,0)))</f>
        <v>9215.91</v>
      </c>
      <c r="N71" s="239">
        <f>IF(B71=C50,D50*C61,IF(B71=C51,D51*C61,IF(B71=C52,D52*C61,0)))</f>
        <v>9215.91</v>
      </c>
    </row>
    <row r="72" spans="1:14">
      <c r="A72" s="226"/>
      <c r="B72" s="240"/>
      <c r="C72" s="232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9"/>
    </row>
    <row r="73" spans="1:14">
      <c r="A73" s="226"/>
      <c r="B73" s="240"/>
      <c r="C73" s="232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9"/>
    </row>
    <row r="74" spans="1:14">
      <c r="A74" s="410" t="s">
        <v>84</v>
      </c>
      <c r="B74" s="240" t="s">
        <v>85</v>
      </c>
      <c r="C74" s="232">
        <f t="shared" ref="C74:N74" si="31">2%*C61</f>
        <v>35310</v>
      </c>
      <c r="D74" s="238">
        <f t="shared" si="31"/>
        <v>35310</v>
      </c>
      <c r="E74" s="238">
        <f t="shared" si="31"/>
        <v>35310</v>
      </c>
      <c r="F74" s="238">
        <f t="shared" si="31"/>
        <v>35310</v>
      </c>
      <c r="G74" s="238">
        <f t="shared" si="31"/>
        <v>35310</v>
      </c>
      <c r="H74" s="238">
        <f t="shared" si="31"/>
        <v>35310</v>
      </c>
      <c r="I74" s="238">
        <f t="shared" si="31"/>
        <v>35310</v>
      </c>
      <c r="J74" s="238">
        <f t="shared" si="31"/>
        <v>35310</v>
      </c>
      <c r="K74" s="238">
        <f t="shared" si="31"/>
        <v>35310</v>
      </c>
      <c r="L74" s="238">
        <f t="shared" si="31"/>
        <v>35310</v>
      </c>
      <c r="M74" s="238">
        <f t="shared" si="31"/>
        <v>35310</v>
      </c>
      <c r="N74" s="239">
        <f t="shared" si="31"/>
        <v>35310</v>
      </c>
    </row>
    <row r="75" spans="1:14">
      <c r="A75" s="410"/>
      <c r="B75" s="240" t="s">
        <v>86</v>
      </c>
      <c r="C75" s="232">
        <f t="shared" ref="C75:N75" si="32">C61*3%</f>
        <v>52965</v>
      </c>
      <c r="D75" s="238">
        <f t="shared" si="32"/>
        <v>52965</v>
      </c>
      <c r="E75" s="238">
        <f t="shared" si="32"/>
        <v>52965</v>
      </c>
      <c r="F75" s="238">
        <f t="shared" si="32"/>
        <v>52965</v>
      </c>
      <c r="G75" s="238">
        <f t="shared" si="32"/>
        <v>52965</v>
      </c>
      <c r="H75" s="238">
        <f t="shared" si="32"/>
        <v>52965</v>
      </c>
      <c r="I75" s="238">
        <f t="shared" si="32"/>
        <v>52965</v>
      </c>
      <c r="J75" s="238">
        <f t="shared" si="32"/>
        <v>52965</v>
      </c>
      <c r="K75" s="238">
        <f t="shared" si="32"/>
        <v>52965</v>
      </c>
      <c r="L75" s="238">
        <f t="shared" si="32"/>
        <v>52965</v>
      </c>
      <c r="M75" s="238">
        <f t="shared" si="32"/>
        <v>52965</v>
      </c>
      <c r="N75" s="239">
        <f t="shared" si="32"/>
        <v>52965</v>
      </c>
    </row>
    <row r="76" spans="1:14">
      <c r="A76" s="410"/>
      <c r="B76" s="240" t="s">
        <v>87</v>
      </c>
      <c r="C76" s="232">
        <f t="shared" ref="C76:N76" si="33">C61*4%</f>
        <v>70620</v>
      </c>
      <c r="D76" s="238">
        <f t="shared" si="33"/>
        <v>70620</v>
      </c>
      <c r="E76" s="238">
        <f t="shared" si="33"/>
        <v>70620</v>
      </c>
      <c r="F76" s="238">
        <f t="shared" si="33"/>
        <v>70620</v>
      </c>
      <c r="G76" s="238">
        <f t="shared" si="33"/>
        <v>70620</v>
      </c>
      <c r="H76" s="238">
        <f t="shared" si="33"/>
        <v>70620</v>
      </c>
      <c r="I76" s="238">
        <f t="shared" si="33"/>
        <v>70620</v>
      </c>
      <c r="J76" s="238">
        <f t="shared" si="33"/>
        <v>70620</v>
      </c>
      <c r="K76" s="238">
        <f t="shared" si="33"/>
        <v>70620</v>
      </c>
      <c r="L76" s="238">
        <f t="shared" si="33"/>
        <v>70620</v>
      </c>
      <c r="M76" s="238">
        <f t="shared" si="33"/>
        <v>70620</v>
      </c>
      <c r="N76" s="239">
        <f t="shared" si="33"/>
        <v>70620</v>
      </c>
    </row>
    <row r="77" spans="1:14">
      <c r="A77" s="226"/>
      <c r="B77" s="240"/>
      <c r="C77" s="232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9"/>
    </row>
    <row r="78" spans="1:14">
      <c r="A78" s="226"/>
      <c r="B78" s="240" t="s">
        <v>88</v>
      </c>
      <c r="C78" s="232">
        <f t="shared" ref="C78:D78" si="34">C60*(25/3)%</f>
        <v>155996.16666666669</v>
      </c>
      <c r="D78" s="238">
        <f t="shared" si="34"/>
        <v>155996.16666666669</v>
      </c>
      <c r="E78" s="238">
        <f>E60*(25/3)%</f>
        <v>155996.16666666669</v>
      </c>
      <c r="F78" s="238">
        <f t="shared" ref="F78:N78" si="35">F60*(25/3)%</f>
        <v>155996.16666666669</v>
      </c>
      <c r="G78" s="238">
        <f t="shared" si="35"/>
        <v>155996.16666666669</v>
      </c>
      <c r="H78" s="238">
        <f t="shared" si="35"/>
        <v>155996.16666666669</v>
      </c>
      <c r="I78" s="238">
        <f t="shared" si="35"/>
        <v>155996.16666666669</v>
      </c>
      <c r="J78" s="238">
        <f t="shared" si="35"/>
        <v>155996.16666666669</v>
      </c>
      <c r="K78" s="238">
        <f t="shared" si="35"/>
        <v>155996.16666666669</v>
      </c>
      <c r="L78" s="238">
        <f t="shared" si="35"/>
        <v>155996.16666666669</v>
      </c>
      <c r="M78" s="238">
        <f t="shared" si="35"/>
        <v>155996.16666666669</v>
      </c>
      <c r="N78" s="239">
        <f t="shared" si="35"/>
        <v>155996.16666666669</v>
      </c>
    </row>
    <row r="79" spans="1:14">
      <c r="A79" s="226"/>
      <c r="B79" s="240" t="s">
        <v>89</v>
      </c>
      <c r="C79" s="232">
        <f t="shared" ref="C79:N79" si="36">C60*(25/3)%</f>
        <v>155996.16666666669</v>
      </c>
      <c r="D79" s="238">
        <f t="shared" si="36"/>
        <v>155996.16666666669</v>
      </c>
      <c r="E79" s="238">
        <f t="shared" si="36"/>
        <v>155996.16666666669</v>
      </c>
      <c r="F79" s="238">
        <f t="shared" si="36"/>
        <v>155996.16666666669</v>
      </c>
      <c r="G79" s="238">
        <f t="shared" si="36"/>
        <v>155996.16666666669</v>
      </c>
      <c r="H79" s="238">
        <f t="shared" si="36"/>
        <v>155996.16666666669</v>
      </c>
      <c r="I79" s="238">
        <f t="shared" si="36"/>
        <v>155996.16666666669</v>
      </c>
      <c r="J79" s="238">
        <f t="shared" si="36"/>
        <v>155996.16666666669</v>
      </c>
      <c r="K79" s="238">
        <f t="shared" si="36"/>
        <v>155996.16666666669</v>
      </c>
      <c r="L79" s="238">
        <f t="shared" si="36"/>
        <v>155996.16666666669</v>
      </c>
      <c r="M79" s="238">
        <f t="shared" si="36"/>
        <v>155996.16666666669</v>
      </c>
      <c r="N79" s="239">
        <f t="shared" si="36"/>
        <v>155996.16666666669</v>
      </c>
    </row>
    <row r="80" spans="1:14">
      <c r="A80" s="226"/>
      <c r="B80" s="240" t="s">
        <v>90</v>
      </c>
      <c r="C80" s="232">
        <f t="shared" ref="C80:N80" si="37">C79*12%</f>
        <v>18719.54</v>
      </c>
      <c r="D80" s="238">
        <f t="shared" si="37"/>
        <v>18719.54</v>
      </c>
      <c r="E80" s="238">
        <f t="shared" si="37"/>
        <v>18719.54</v>
      </c>
      <c r="F80" s="238">
        <f t="shared" si="37"/>
        <v>18719.54</v>
      </c>
      <c r="G80" s="238">
        <f t="shared" si="37"/>
        <v>18719.54</v>
      </c>
      <c r="H80" s="238">
        <f t="shared" si="37"/>
        <v>18719.54</v>
      </c>
      <c r="I80" s="238">
        <f t="shared" si="37"/>
        <v>18719.54</v>
      </c>
      <c r="J80" s="238">
        <f t="shared" si="37"/>
        <v>18719.54</v>
      </c>
      <c r="K80" s="238">
        <f t="shared" si="37"/>
        <v>18719.54</v>
      </c>
      <c r="L80" s="238">
        <f t="shared" si="37"/>
        <v>18719.54</v>
      </c>
      <c r="M80" s="238">
        <f t="shared" si="37"/>
        <v>18719.54</v>
      </c>
      <c r="N80" s="239">
        <f t="shared" si="37"/>
        <v>18719.54</v>
      </c>
    </row>
    <row r="81" spans="1:14">
      <c r="A81" s="226"/>
      <c r="B81" s="240" t="s">
        <v>91</v>
      </c>
      <c r="C81" s="232">
        <f t="shared" ref="C81:N81" si="38">C54*(25/6)%</f>
        <v>73562.500000000015</v>
      </c>
      <c r="D81" s="238">
        <f t="shared" si="38"/>
        <v>73562.500000000015</v>
      </c>
      <c r="E81" s="238">
        <f t="shared" si="38"/>
        <v>73562.500000000015</v>
      </c>
      <c r="F81" s="238">
        <f t="shared" si="38"/>
        <v>73562.500000000015</v>
      </c>
      <c r="G81" s="238">
        <f t="shared" si="38"/>
        <v>73562.500000000015</v>
      </c>
      <c r="H81" s="238">
        <f t="shared" si="38"/>
        <v>73562.500000000015</v>
      </c>
      <c r="I81" s="238">
        <f t="shared" si="38"/>
        <v>73562.500000000015</v>
      </c>
      <c r="J81" s="238">
        <f t="shared" si="38"/>
        <v>73562.500000000015</v>
      </c>
      <c r="K81" s="238">
        <f t="shared" si="38"/>
        <v>73562.500000000015</v>
      </c>
      <c r="L81" s="238">
        <f t="shared" si="38"/>
        <v>73562.500000000015</v>
      </c>
      <c r="M81" s="238">
        <f t="shared" si="38"/>
        <v>73562.500000000015</v>
      </c>
      <c r="N81" s="239">
        <f t="shared" si="38"/>
        <v>73562.500000000015</v>
      </c>
    </row>
    <row r="82" spans="1:14">
      <c r="A82" s="226"/>
      <c r="B82" s="227"/>
      <c r="C82" s="232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9"/>
    </row>
    <row r="83" spans="1:14">
      <c r="A83" s="226"/>
      <c r="B83" s="227" t="s">
        <v>92</v>
      </c>
      <c r="C83" s="232">
        <f t="shared" ref="C83:N83" si="39">SUM(C63,C65:C81)</f>
        <v>2806266.7833333332</v>
      </c>
      <c r="D83" s="238">
        <f t="shared" si="39"/>
        <v>2806266.7833333332</v>
      </c>
      <c r="E83" s="238">
        <f t="shared" si="39"/>
        <v>2806266.7833333332</v>
      </c>
      <c r="F83" s="238">
        <f t="shared" si="39"/>
        <v>2806266.7833333332</v>
      </c>
      <c r="G83" s="238">
        <f t="shared" si="39"/>
        <v>2806266.7833333332</v>
      </c>
      <c r="H83" s="238">
        <f t="shared" si="39"/>
        <v>2806266.7833333332</v>
      </c>
      <c r="I83" s="238">
        <f t="shared" si="39"/>
        <v>2806266.7833333332</v>
      </c>
      <c r="J83" s="238">
        <f t="shared" si="39"/>
        <v>2806266.7833333332</v>
      </c>
      <c r="K83" s="238">
        <f t="shared" si="39"/>
        <v>2806266.7833333332</v>
      </c>
      <c r="L83" s="238">
        <f t="shared" si="39"/>
        <v>2806266.7833333332</v>
      </c>
      <c r="M83" s="238">
        <f t="shared" si="39"/>
        <v>2806266.7833333332</v>
      </c>
      <c r="N83" s="239">
        <f t="shared" si="39"/>
        <v>2806266.7833333332</v>
      </c>
    </row>
    <row r="84" spans="1:14">
      <c r="A84" s="226"/>
      <c r="B84" s="227" t="s">
        <v>93</v>
      </c>
      <c r="C84" s="232">
        <f>C83-SUM(C78:C81)</f>
        <v>2401992.4099999997</v>
      </c>
      <c r="D84" s="238">
        <f t="shared" ref="D84:N84" si="40">D83-SUM(D78:D81)</f>
        <v>2401992.4099999997</v>
      </c>
      <c r="E84" s="238">
        <f t="shared" si="40"/>
        <v>2401992.4099999997</v>
      </c>
      <c r="F84" s="238">
        <f t="shared" si="40"/>
        <v>2401992.4099999997</v>
      </c>
      <c r="G84" s="238">
        <f t="shared" si="40"/>
        <v>2401992.4099999997</v>
      </c>
      <c r="H84" s="238">
        <f t="shared" si="40"/>
        <v>2401992.4099999997</v>
      </c>
      <c r="I84" s="238">
        <f t="shared" si="40"/>
        <v>2401992.4099999997</v>
      </c>
      <c r="J84" s="238">
        <f t="shared" si="40"/>
        <v>2401992.4099999997</v>
      </c>
      <c r="K84" s="238">
        <f t="shared" si="40"/>
        <v>2401992.4099999997</v>
      </c>
      <c r="L84" s="238">
        <f t="shared" si="40"/>
        <v>2401992.4099999997</v>
      </c>
      <c r="M84" s="238">
        <f t="shared" si="40"/>
        <v>2401992.4099999997</v>
      </c>
      <c r="N84" s="239">
        <f t="shared" si="40"/>
        <v>2401992.4099999997</v>
      </c>
    </row>
    <row r="85" spans="1:14">
      <c r="A85" s="226"/>
      <c r="B85" s="227" t="s">
        <v>94</v>
      </c>
      <c r="C85" s="242">
        <v>2</v>
      </c>
      <c r="D85" s="242">
        <f>C85</f>
        <v>2</v>
      </c>
      <c r="E85" s="242">
        <f t="shared" ref="E85:N85" si="41">D85</f>
        <v>2</v>
      </c>
      <c r="F85" s="242">
        <f t="shared" si="41"/>
        <v>2</v>
      </c>
      <c r="G85" s="242">
        <f t="shared" si="41"/>
        <v>2</v>
      </c>
      <c r="H85" s="242">
        <f t="shared" si="41"/>
        <v>2</v>
      </c>
      <c r="I85" s="242">
        <f t="shared" si="41"/>
        <v>2</v>
      </c>
      <c r="J85" s="242">
        <f t="shared" si="41"/>
        <v>2</v>
      </c>
      <c r="K85" s="242">
        <f t="shared" si="41"/>
        <v>2</v>
      </c>
      <c r="L85" s="242">
        <f t="shared" si="41"/>
        <v>2</v>
      </c>
      <c r="M85" s="242">
        <f t="shared" si="41"/>
        <v>2</v>
      </c>
      <c r="N85" s="243">
        <f t="shared" si="41"/>
        <v>2</v>
      </c>
    </row>
    <row r="86" spans="1:14">
      <c r="A86" s="226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9"/>
    </row>
    <row r="87" spans="1:14">
      <c r="A87" s="226"/>
      <c r="B87" s="227"/>
      <c r="C87" s="228">
        <f>(C83*100%/C61)-1</f>
        <v>0.5895025677334087</v>
      </c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9"/>
    </row>
    <row r="88" spans="1:14">
      <c r="A88" s="226"/>
      <c r="B88" s="227"/>
      <c r="C88" s="235" t="s">
        <v>55</v>
      </c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9"/>
    </row>
    <row r="89" spans="1:14">
      <c r="A89" s="226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9"/>
    </row>
    <row r="90" spans="1:14">
      <c r="A90" s="226"/>
      <c r="B90" s="227"/>
      <c r="C90" s="227" t="s">
        <v>93</v>
      </c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9"/>
    </row>
    <row r="91" spans="1:14">
      <c r="A91" s="226"/>
      <c r="B91" s="227"/>
      <c r="C91" s="227" t="s">
        <v>95</v>
      </c>
      <c r="D91" s="227">
        <v>1</v>
      </c>
      <c r="E91" s="227">
        <v>2</v>
      </c>
      <c r="F91" s="227">
        <v>3</v>
      </c>
      <c r="G91" s="227">
        <v>4</v>
      </c>
      <c r="H91" s="227"/>
      <c r="I91" s="227"/>
      <c r="J91" s="227"/>
      <c r="K91" s="227"/>
      <c r="L91" s="227"/>
      <c r="M91" s="227"/>
      <c r="N91" s="229"/>
    </row>
    <row r="92" spans="1:14">
      <c r="A92" s="226"/>
      <c r="B92" s="227"/>
      <c r="C92" s="227"/>
      <c r="D92" s="238">
        <f>SUM(C84:E84)</f>
        <v>7205977.2299999986</v>
      </c>
      <c r="E92" s="238">
        <f>SUM(F84:H84,C78:H78)</f>
        <v>8141954.2300000004</v>
      </c>
      <c r="F92" s="238">
        <f>SUM(I84:K84)</f>
        <v>7205977.2299999986</v>
      </c>
      <c r="G92" s="238">
        <f>SUM(L84:N84,C81:N81,C80:N80,C79:N79,I78:N78)</f>
        <v>11121292.709999988</v>
      </c>
      <c r="H92" s="227"/>
      <c r="I92" s="227"/>
      <c r="J92" s="227"/>
      <c r="K92" s="227"/>
      <c r="L92" s="227"/>
      <c r="M92" s="227"/>
      <c r="N92" s="229"/>
    </row>
    <row r="93" spans="1:14">
      <c r="A93" s="226"/>
      <c r="B93" s="227"/>
      <c r="C93" s="227"/>
      <c r="D93" s="244">
        <f>D92*$C$37</f>
        <v>14411954.459999997</v>
      </c>
      <c r="E93" s="244">
        <f t="shared" ref="E93:G93" si="42">E92*$C$37</f>
        <v>16283908.460000001</v>
      </c>
      <c r="F93" s="244">
        <f t="shared" si="42"/>
        <v>14411954.459999997</v>
      </c>
      <c r="G93" s="244">
        <f t="shared" si="42"/>
        <v>22242585.419999976</v>
      </c>
      <c r="H93" s="227"/>
      <c r="I93" s="227"/>
      <c r="J93" s="227"/>
      <c r="K93" s="227"/>
      <c r="L93" s="227"/>
      <c r="M93" s="227"/>
      <c r="N93" s="229"/>
    </row>
    <row r="94" spans="1:14">
      <c r="A94" s="226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9"/>
    </row>
    <row r="95" spans="1:14">
      <c r="A95" s="226"/>
      <c r="B95" s="227" t="s">
        <v>96</v>
      </c>
      <c r="C95" s="245">
        <f>SUM(C63,C65:C66,C68:C69,C71,C74:C76)</f>
        <v>2401992.41</v>
      </c>
      <c r="D95" s="245">
        <f>SUM(D63,D65:D66,D68:D69,D71,D74:D76,)</f>
        <v>2401992.41</v>
      </c>
      <c r="E95" s="245">
        <f>SUM(E63,E65:E66,E68:E69,E71,E74:E76)</f>
        <v>2401992.41</v>
      </c>
      <c r="F95" s="245">
        <f>SUM(F63,F65:F66,F68:F69,F71,F74:F76)</f>
        <v>2401992.41</v>
      </c>
      <c r="G95" s="245">
        <f>SUM(G63,G65:G66,G68:G69,G71,G74:G76)</f>
        <v>2401992.41</v>
      </c>
      <c r="H95" s="245">
        <f>SUM(H63,H65:H66,H68:H69,H71,H74:H76,C78:H78)</f>
        <v>3337969.4099999992</v>
      </c>
      <c r="I95" s="245">
        <f>SUM(I63,I65:I66,I68:I69,I71,I74:I76)</f>
        <v>2401992.41</v>
      </c>
      <c r="J95" s="245">
        <f t="shared" ref="J95:M95" si="43">SUM(J63,J65:J66,J68:J69,J71,J74:J76)</f>
        <v>2401992.41</v>
      </c>
      <c r="K95" s="245">
        <f t="shared" si="43"/>
        <v>2401992.41</v>
      </c>
      <c r="L95" s="245">
        <f t="shared" si="43"/>
        <v>2401992.41</v>
      </c>
      <c r="M95" s="245">
        <f t="shared" si="43"/>
        <v>2401992.41</v>
      </c>
      <c r="N95" s="246">
        <f>SUM(N63,N65:N66,N68:N69,N71,N74:N76,I78:N78,C81:N81)</f>
        <v>4220719.4099999992</v>
      </c>
    </row>
    <row r="96" spans="1:14" ht="15.75" thickBot="1">
      <c r="A96" s="247"/>
      <c r="B96" s="248" t="s">
        <v>97</v>
      </c>
      <c r="C96" s="249">
        <f>SUM(C95:N95)</f>
        <v>31578612.920000002</v>
      </c>
      <c r="D96" s="250">
        <f>C96*4</f>
        <v>126314451.68000001</v>
      </c>
      <c r="E96" s="248"/>
      <c r="F96" s="248"/>
      <c r="G96" s="248"/>
      <c r="H96" s="248"/>
      <c r="I96" s="248"/>
      <c r="J96" s="248"/>
      <c r="K96" s="248"/>
      <c r="L96" s="248"/>
      <c r="M96" s="248"/>
      <c r="N96" s="251"/>
    </row>
    <row r="97" spans="1:14">
      <c r="A97" s="252" t="s">
        <v>99</v>
      </c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4"/>
    </row>
    <row r="98" spans="1:14">
      <c r="A98" s="255"/>
      <c r="B98" s="256" t="s">
        <v>68</v>
      </c>
      <c r="C98" s="256">
        <v>1</v>
      </c>
      <c r="D98" s="257">
        <f>0.00522</f>
        <v>5.2199999999999998E-3</v>
      </c>
      <c r="E98" s="256"/>
      <c r="F98" s="256"/>
      <c r="G98" s="256"/>
      <c r="H98" s="256"/>
      <c r="I98" s="256"/>
      <c r="J98" s="256"/>
      <c r="K98" s="256"/>
      <c r="L98" s="256"/>
      <c r="M98" s="256"/>
      <c r="N98" s="258"/>
    </row>
    <row r="99" spans="1:14">
      <c r="A99" s="255"/>
      <c r="B99" s="256"/>
      <c r="C99" s="256">
        <v>2</v>
      </c>
      <c r="D99" s="257">
        <f>1.044%</f>
        <v>1.044E-2</v>
      </c>
      <c r="E99" s="256"/>
      <c r="F99" s="256"/>
      <c r="G99" s="256"/>
      <c r="H99" s="256"/>
      <c r="I99" s="256"/>
      <c r="J99" s="256"/>
      <c r="K99" s="256"/>
      <c r="L99" s="256"/>
      <c r="M99" s="256"/>
      <c r="N99" s="258"/>
    </row>
    <row r="100" spans="1:14">
      <c r="A100" s="255"/>
      <c r="B100" s="256"/>
      <c r="C100" s="256">
        <v>3</v>
      </c>
      <c r="D100" s="259">
        <v>2.436E-2</v>
      </c>
      <c r="E100" s="256"/>
      <c r="F100" s="256"/>
      <c r="G100" s="256"/>
      <c r="H100" s="256"/>
      <c r="I100" s="256"/>
      <c r="J100" s="256"/>
      <c r="K100" s="256"/>
      <c r="L100" s="256"/>
      <c r="M100" s="256"/>
      <c r="N100" s="258"/>
    </row>
    <row r="101" spans="1:14">
      <c r="A101" s="255"/>
      <c r="B101" s="256" t="s">
        <v>102</v>
      </c>
      <c r="C101" s="260">
        <v>0.06</v>
      </c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8"/>
    </row>
    <row r="102" spans="1:14">
      <c r="A102" s="255"/>
      <c r="B102" s="256" t="s">
        <v>69</v>
      </c>
      <c r="C102" s="261">
        <f>C54*(1+C101)</f>
        <v>1871430</v>
      </c>
      <c r="D102" s="261">
        <f>C102</f>
        <v>1871430</v>
      </c>
      <c r="E102" s="261">
        <f t="shared" ref="E102:N102" si="44">D102</f>
        <v>1871430</v>
      </c>
      <c r="F102" s="261">
        <f t="shared" si="44"/>
        <v>1871430</v>
      </c>
      <c r="G102" s="261">
        <f t="shared" si="44"/>
        <v>1871430</v>
      </c>
      <c r="H102" s="261">
        <f t="shared" si="44"/>
        <v>1871430</v>
      </c>
      <c r="I102" s="261">
        <f t="shared" si="44"/>
        <v>1871430</v>
      </c>
      <c r="J102" s="261">
        <f t="shared" si="44"/>
        <v>1871430</v>
      </c>
      <c r="K102" s="261">
        <f t="shared" si="44"/>
        <v>1871430</v>
      </c>
      <c r="L102" s="261">
        <f t="shared" si="44"/>
        <v>1871430</v>
      </c>
      <c r="M102" s="261">
        <f t="shared" si="44"/>
        <v>1871430</v>
      </c>
      <c r="N102" s="262">
        <f t="shared" si="44"/>
        <v>1871430</v>
      </c>
    </row>
    <row r="103" spans="1:14">
      <c r="A103" s="255"/>
      <c r="B103" s="256" t="s">
        <v>70</v>
      </c>
      <c r="C103" s="261">
        <f>IF(C102&lt;2*908526*(1+$C$101),106454*(1+$C$101),0)</f>
        <v>112841.24</v>
      </c>
      <c r="D103" s="261">
        <f t="shared" ref="D103:N103" si="45">IF(D102&lt;2*908526*(1+$C$101),106454*(1+$C$101),0)</f>
        <v>112841.24</v>
      </c>
      <c r="E103" s="261">
        <f t="shared" si="45"/>
        <v>112841.24</v>
      </c>
      <c r="F103" s="261">
        <f t="shared" si="45"/>
        <v>112841.24</v>
      </c>
      <c r="G103" s="261">
        <f t="shared" si="45"/>
        <v>112841.24</v>
      </c>
      <c r="H103" s="261">
        <f t="shared" si="45"/>
        <v>112841.24</v>
      </c>
      <c r="I103" s="261">
        <f t="shared" si="45"/>
        <v>112841.24</v>
      </c>
      <c r="J103" s="261">
        <f t="shared" si="45"/>
        <v>112841.24</v>
      </c>
      <c r="K103" s="261">
        <f t="shared" si="45"/>
        <v>112841.24</v>
      </c>
      <c r="L103" s="261">
        <f t="shared" si="45"/>
        <v>112841.24</v>
      </c>
      <c r="M103" s="261">
        <f t="shared" si="45"/>
        <v>112841.24</v>
      </c>
      <c r="N103" s="261">
        <f t="shared" si="45"/>
        <v>112841.24</v>
      </c>
    </row>
    <row r="104" spans="1:14">
      <c r="A104" s="263"/>
      <c r="B104" s="256" t="s">
        <v>71</v>
      </c>
      <c r="C104" s="264">
        <v>0</v>
      </c>
      <c r="D104" s="264">
        <v>0</v>
      </c>
      <c r="E104" s="264">
        <v>0</v>
      </c>
      <c r="F104" s="264">
        <v>0</v>
      </c>
      <c r="G104" s="264">
        <v>0</v>
      </c>
      <c r="H104" s="264">
        <v>0</v>
      </c>
      <c r="I104" s="264">
        <v>0</v>
      </c>
      <c r="J104" s="264">
        <v>0</v>
      </c>
      <c r="K104" s="264">
        <v>0</v>
      </c>
      <c r="L104" s="264">
        <v>0</v>
      </c>
      <c r="M104" s="264">
        <v>0</v>
      </c>
      <c r="N104" s="265">
        <v>0</v>
      </c>
    </row>
    <row r="105" spans="1:14">
      <c r="A105" s="255"/>
      <c r="B105" s="256" t="s">
        <v>72</v>
      </c>
      <c r="C105" s="266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5"/>
    </row>
    <row r="106" spans="1:14">
      <c r="A106" s="255"/>
      <c r="B106" s="256" t="s">
        <v>73</v>
      </c>
      <c r="C106" s="266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5"/>
    </row>
    <row r="107" spans="1:14">
      <c r="A107" s="255"/>
      <c r="B107" s="256"/>
      <c r="C107" s="266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5"/>
    </row>
    <row r="108" spans="1:14">
      <c r="A108" s="406" t="s">
        <v>74</v>
      </c>
      <c r="B108" s="256" t="s">
        <v>75</v>
      </c>
      <c r="C108" s="261">
        <f t="shared" ref="C108:E108" si="46">SUM(C102:C106)</f>
        <v>1984271.24</v>
      </c>
      <c r="D108" s="264">
        <f t="shared" si="46"/>
        <v>1984271.24</v>
      </c>
      <c r="E108" s="264">
        <f t="shared" si="46"/>
        <v>1984271.24</v>
      </c>
      <c r="F108" s="264">
        <f>SUM(F102:F106)</f>
        <v>1984271.24</v>
      </c>
      <c r="G108" s="264">
        <f t="shared" ref="G108:N108" si="47">SUM(G102:G106)</f>
        <v>1984271.24</v>
      </c>
      <c r="H108" s="264">
        <f t="shared" si="47"/>
        <v>1984271.24</v>
      </c>
      <c r="I108" s="264">
        <f t="shared" si="47"/>
        <v>1984271.24</v>
      </c>
      <c r="J108" s="264">
        <f t="shared" si="47"/>
        <v>1984271.24</v>
      </c>
      <c r="K108" s="264">
        <f t="shared" si="47"/>
        <v>1984271.24</v>
      </c>
      <c r="L108" s="264">
        <f t="shared" si="47"/>
        <v>1984271.24</v>
      </c>
      <c r="M108" s="264">
        <f t="shared" si="47"/>
        <v>1984271.24</v>
      </c>
      <c r="N108" s="265">
        <f t="shared" si="47"/>
        <v>1984271.24</v>
      </c>
    </row>
    <row r="109" spans="1:14">
      <c r="A109" s="406"/>
      <c r="B109" s="256" t="s">
        <v>76</v>
      </c>
      <c r="C109" s="261">
        <f t="shared" ref="C109:N109" si="48">C108-C103</f>
        <v>1871430</v>
      </c>
      <c r="D109" s="267">
        <f t="shared" si="48"/>
        <v>1871430</v>
      </c>
      <c r="E109" s="267">
        <f t="shared" si="48"/>
        <v>1871430</v>
      </c>
      <c r="F109" s="267">
        <f t="shared" si="48"/>
        <v>1871430</v>
      </c>
      <c r="G109" s="267">
        <f t="shared" si="48"/>
        <v>1871430</v>
      </c>
      <c r="H109" s="267">
        <f t="shared" si="48"/>
        <v>1871430</v>
      </c>
      <c r="I109" s="267">
        <f t="shared" si="48"/>
        <v>1871430</v>
      </c>
      <c r="J109" s="267">
        <f t="shared" si="48"/>
        <v>1871430</v>
      </c>
      <c r="K109" s="267">
        <f t="shared" si="48"/>
        <v>1871430</v>
      </c>
      <c r="L109" s="267">
        <f t="shared" si="48"/>
        <v>1871430</v>
      </c>
      <c r="M109" s="267">
        <f t="shared" si="48"/>
        <v>1871430</v>
      </c>
      <c r="N109" s="268">
        <f t="shared" si="48"/>
        <v>1871430</v>
      </c>
    </row>
    <row r="110" spans="1:14">
      <c r="A110" s="255"/>
      <c r="B110" s="256"/>
      <c r="C110" s="261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8"/>
    </row>
    <row r="111" spans="1:14">
      <c r="A111" s="255"/>
      <c r="B111" s="256" t="s">
        <v>77</v>
      </c>
      <c r="C111" s="261">
        <f t="shared" ref="C111:N111" si="49">C108-C113-C116</f>
        <v>1834556.84</v>
      </c>
      <c r="D111" s="267">
        <f t="shared" si="49"/>
        <v>1834556.84</v>
      </c>
      <c r="E111" s="267">
        <f t="shared" si="49"/>
        <v>1834556.84</v>
      </c>
      <c r="F111" s="267">
        <f t="shared" si="49"/>
        <v>1834556.84</v>
      </c>
      <c r="G111" s="267">
        <f t="shared" si="49"/>
        <v>1834556.84</v>
      </c>
      <c r="H111" s="267">
        <f t="shared" si="49"/>
        <v>1834556.84</v>
      </c>
      <c r="I111" s="267">
        <f t="shared" si="49"/>
        <v>1834556.84</v>
      </c>
      <c r="J111" s="267">
        <f t="shared" si="49"/>
        <v>1834556.84</v>
      </c>
      <c r="K111" s="267">
        <f t="shared" si="49"/>
        <v>1834556.84</v>
      </c>
      <c r="L111" s="267">
        <f t="shared" si="49"/>
        <v>1834556.84</v>
      </c>
      <c r="M111" s="267">
        <f t="shared" si="49"/>
        <v>1834556.84</v>
      </c>
      <c r="N111" s="268">
        <f t="shared" si="49"/>
        <v>1834556.84</v>
      </c>
    </row>
    <row r="112" spans="1:14">
      <c r="A112" s="255"/>
      <c r="B112" s="256"/>
      <c r="C112" s="261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8"/>
    </row>
    <row r="113" spans="1:14">
      <c r="A113" s="404" t="s">
        <v>78</v>
      </c>
      <c r="B113" s="269" t="s">
        <v>79</v>
      </c>
      <c r="C113" s="261">
        <f t="shared" ref="C113:N113" si="50">C109*4%</f>
        <v>74857.2</v>
      </c>
      <c r="D113" s="267">
        <f t="shared" si="50"/>
        <v>74857.2</v>
      </c>
      <c r="E113" s="267">
        <f t="shared" si="50"/>
        <v>74857.2</v>
      </c>
      <c r="F113" s="267">
        <f t="shared" si="50"/>
        <v>74857.2</v>
      </c>
      <c r="G113" s="267">
        <f t="shared" si="50"/>
        <v>74857.2</v>
      </c>
      <c r="H113" s="267">
        <f t="shared" si="50"/>
        <v>74857.2</v>
      </c>
      <c r="I113" s="267">
        <f t="shared" si="50"/>
        <v>74857.2</v>
      </c>
      <c r="J113" s="267">
        <f t="shared" si="50"/>
        <v>74857.2</v>
      </c>
      <c r="K113" s="267">
        <f t="shared" si="50"/>
        <v>74857.2</v>
      </c>
      <c r="L113" s="267">
        <f t="shared" si="50"/>
        <v>74857.2</v>
      </c>
      <c r="M113" s="267">
        <f t="shared" si="50"/>
        <v>74857.2</v>
      </c>
      <c r="N113" s="268">
        <f t="shared" si="50"/>
        <v>74857.2</v>
      </c>
    </row>
    <row r="114" spans="1:14">
      <c r="A114" s="404"/>
      <c r="B114" s="269" t="s">
        <v>80</v>
      </c>
      <c r="C114" s="261">
        <f t="shared" ref="C114:N114" si="51">C109*8.5%</f>
        <v>159071.55000000002</v>
      </c>
      <c r="D114" s="267">
        <f t="shared" si="51"/>
        <v>159071.55000000002</v>
      </c>
      <c r="E114" s="267">
        <f t="shared" si="51"/>
        <v>159071.55000000002</v>
      </c>
      <c r="F114" s="267">
        <f t="shared" si="51"/>
        <v>159071.55000000002</v>
      </c>
      <c r="G114" s="267">
        <f t="shared" si="51"/>
        <v>159071.55000000002</v>
      </c>
      <c r="H114" s="267">
        <f t="shared" si="51"/>
        <v>159071.55000000002</v>
      </c>
      <c r="I114" s="267">
        <f t="shared" si="51"/>
        <v>159071.55000000002</v>
      </c>
      <c r="J114" s="267">
        <f t="shared" si="51"/>
        <v>159071.55000000002</v>
      </c>
      <c r="K114" s="267">
        <f t="shared" si="51"/>
        <v>159071.55000000002</v>
      </c>
      <c r="L114" s="267">
        <f t="shared" si="51"/>
        <v>159071.55000000002</v>
      </c>
      <c r="M114" s="267">
        <f t="shared" si="51"/>
        <v>159071.55000000002</v>
      </c>
      <c r="N114" s="268">
        <f t="shared" si="51"/>
        <v>159071.55000000002</v>
      </c>
    </row>
    <row r="115" spans="1:14">
      <c r="A115" s="255"/>
      <c r="B115" s="269"/>
      <c r="C115" s="261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8"/>
    </row>
    <row r="116" spans="1:14">
      <c r="A116" s="404" t="s">
        <v>81</v>
      </c>
      <c r="B116" s="269" t="s">
        <v>82</v>
      </c>
      <c r="C116" s="261">
        <f t="shared" ref="C116:N116" si="52">C109*4%</f>
        <v>74857.2</v>
      </c>
      <c r="D116" s="267">
        <f t="shared" si="52"/>
        <v>74857.2</v>
      </c>
      <c r="E116" s="267">
        <f t="shared" si="52"/>
        <v>74857.2</v>
      </c>
      <c r="F116" s="267">
        <f t="shared" si="52"/>
        <v>74857.2</v>
      </c>
      <c r="G116" s="267">
        <f t="shared" si="52"/>
        <v>74857.2</v>
      </c>
      <c r="H116" s="267">
        <f t="shared" si="52"/>
        <v>74857.2</v>
      </c>
      <c r="I116" s="267">
        <f t="shared" si="52"/>
        <v>74857.2</v>
      </c>
      <c r="J116" s="267">
        <f t="shared" si="52"/>
        <v>74857.2</v>
      </c>
      <c r="K116" s="267">
        <f t="shared" si="52"/>
        <v>74857.2</v>
      </c>
      <c r="L116" s="267">
        <f t="shared" si="52"/>
        <v>74857.2</v>
      </c>
      <c r="M116" s="267">
        <f t="shared" si="52"/>
        <v>74857.2</v>
      </c>
      <c r="N116" s="268">
        <f t="shared" si="52"/>
        <v>74857.2</v>
      </c>
    </row>
    <row r="117" spans="1:14">
      <c r="A117" s="404"/>
      <c r="B117" s="269" t="s">
        <v>80</v>
      </c>
      <c r="C117" s="261">
        <f t="shared" ref="C117:N117" si="53">C109*12%</f>
        <v>224571.6</v>
      </c>
      <c r="D117" s="267">
        <f t="shared" si="53"/>
        <v>224571.6</v>
      </c>
      <c r="E117" s="267">
        <f t="shared" si="53"/>
        <v>224571.6</v>
      </c>
      <c r="F117" s="267">
        <f t="shared" si="53"/>
        <v>224571.6</v>
      </c>
      <c r="G117" s="267">
        <f t="shared" si="53"/>
        <v>224571.6</v>
      </c>
      <c r="H117" s="267">
        <f t="shared" si="53"/>
        <v>224571.6</v>
      </c>
      <c r="I117" s="267">
        <f t="shared" si="53"/>
        <v>224571.6</v>
      </c>
      <c r="J117" s="267">
        <f t="shared" si="53"/>
        <v>224571.6</v>
      </c>
      <c r="K117" s="267">
        <f t="shared" si="53"/>
        <v>224571.6</v>
      </c>
      <c r="L117" s="267">
        <f t="shared" si="53"/>
        <v>224571.6</v>
      </c>
      <c r="M117" s="267">
        <f t="shared" si="53"/>
        <v>224571.6</v>
      </c>
      <c r="N117" s="268">
        <f t="shared" si="53"/>
        <v>224571.6</v>
      </c>
    </row>
    <row r="118" spans="1:14">
      <c r="A118" s="255"/>
      <c r="B118" s="269"/>
      <c r="C118" s="261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8"/>
    </row>
    <row r="119" spans="1:14">
      <c r="A119" s="255" t="s">
        <v>83</v>
      </c>
      <c r="B119" s="270">
        <v>1</v>
      </c>
      <c r="C119" s="261">
        <f>IF(B119=C98,D98*C109,IF(B119=C99,D99*C109,IF(B119=C100,D100*C109,0)))</f>
        <v>9768.864599999999</v>
      </c>
      <c r="D119" s="267">
        <f>IF(B119=C98,D98*C109,IF(B119=C99,D99*C109,IF(B119=C100,D100*C109,0)))</f>
        <v>9768.864599999999</v>
      </c>
      <c r="E119" s="267">
        <f>IF(B119=C98,D98*C109,IF(B119=C99,D99*C109,IF(B119=C100,D100*C109,0)))</f>
        <v>9768.864599999999</v>
      </c>
      <c r="F119" s="267">
        <f>IF(B119=C98,D98*C109,IF(B119=C99,D99*C109,IF(B119=C100,D100*C109,0)))</f>
        <v>9768.864599999999</v>
      </c>
      <c r="G119" s="267">
        <f>IF(B119=C98,D98*C109,IF(B119=C99,D99*C109,IF(B119=C100,D100*C109,0)))</f>
        <v>9768.864599999999</v>
      </c>
      <c r="H119" s="267">
        <f>IF(B119=C98,D98*C109,IF(B119=C99,D99*C109,IF(B119=C100,D100*C109,0)))</f>
        <v>9768.864599999999</v>
      </c>
      <c r="I119" s="267">
        <f>IF(B119=C98,D98*C109,IF(B119=C99,D99*C109,IF(B119=C100,D100*C109,0)))</f>
        <v>9768.864599999999</v>
      </c>
      <c r="J119" s="267">
        <f>IF(B119=C98,D98*C109,IF(B119=C99,D99*C109,IF(B119=C100,D100*C109,0)))</f>
        <v>9768.864599999999</v>
      </c>
      <c r="K119" s="267">
        <f>IF(B119=C98,D98*C109,IF(B119=C99,D99*C109,IF(B119=C100,D100*C109,0)))</f>
        <v>9768.864599999999</v>
      </c>
      <c r="L119" s="267">
        <f>IF(B119=C98,D98*C109,IF(B119=C99,D99*C109,IF(B119=C100,D100*C109,0)))</f>
        <v>9768.864599999999</v>
      </c>
      <c r="M119" s="267">
        <f>IF(B119=C98,D98*C109,IF(B119=C99,D99*C109,IF(B119=C100,D100*C109,0)))</f>
        <v>9768.864599999999</v>
      </c>
      <c r="N119" s="268">
        <f>IF(B119=C98,D98*C109,IF(B119=C99,D99*C109,IF(B119=C100,D100*C109,0)))</f>
        <v>9768.864599999999</v>
      </c>
    </row>
    <row r="120" spans="1:14">
      <c r="A120" s="255"/>
      <c r="B120" s="269"/>
      <c r="C120" s="261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8"/>
    </row>
    <row r="121" spans="1:14">
      <c r="A121" s="255"/>
      <c r="B121" s="269"/>
      <c r="C121" s="261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8"/>
    </row>
    <row r="122" spans="1:14">
      <c r="A122" s="404" t="s">
        <v>84</v>
      </c>
      <c r="B122" s="269" t="s">
        <v>85</v>
      </c>
      <c r="C122" s="261">
        <f t="shared" ref="C122:N122" si="54">2%*C109</f>
        <v>37428.6</v>
      </c>
      <c r="D122" s="267">
        <f t="shared" si="54"/>
        <v>37428.6</v>
      </c>
      <c r="E122" s="267">
        <f t="shared" si="54"/>
        <v>37428.6</v>
      </c>
      <c r="F122" s="267">
        <f t="shared" si="54"/>
        <v>37428.6</v>
      </c>
      <c r="G122" s="267">
        <f t="shared" si="54"/>
        <v>37428.6</v>
      </c>
      <c r="H122" s="267">
        <f t="shared" si="54"/>
        <v>37428.6</v>
      </c>
      <c r="I122" s="267">
        <f t="shared" si="54"/>
        <v>37428.6</v>
      </c>
      <c r="J122" s="267">
        <f t="shared" si="54"/>
        <v>37428.6</v>
      </c>
      <c r="K122" s="267">
        <f t="shared" si="54"/>
        <v>37428.6</v>
      </c>
      <c r="L122" s="267">
        <f t="shared" si="54"/>
        <v>37428.6</v>
      </c>
      <c r="M122" s="267">
        <f t="shared" si="54"/>
        <v>37428.6</v>
      </c>
      <c r="N122" s="268">
        <f t="shared" si="54"/>
        <v>37428.6</v>
      </c>
    </row>
    <row r="123" spans="1:14">
      <c r="A123" s="404"/>
      <c r="B123" s="269" t="s">
        <v>86</v>
      </c>
      <c r="C123" s="261">
        <f t="shared" ref="C123:N123" si="55">C109*3%</f>
        <v>56142.9</v>
      </c>
      <c r="D123" s="267">
        <f t="shared" si="55"/>
        <v>56142.9</v>
      </c>
      <c r="E123" s="267">
        <f t="shared" si="55"/>
        <v>56142.9</v>
      </c>
      <c r="F123" s="267">
        <f t="shared" si="55"/>
        <v>56142.9</v>
      </c>
      <c r="G123" s="267">
        <f t="shared" si="55"/>
        <v>56142.9</v>
      </c>
      <c r="H123" s="267">
        <f t="shared" si="55"/>
        <v>56142.9</v>
      </c>
      <c r="I123" s="267">
        <f t="shared" si="55"/>
        <v>56142.9</v>
      </c>
      <c r="J123" s="267">
        <f t="shared" si="55"/>
        <v>56142.9</v>
      </c>
      <c r="K123" s="267">
        <f t="shared" si="55"/>
        <v>56142.9</v>
      </c>
      <c r="L123" s="267">
        <f t="shared" si="55"/>
        <v>56142.9</v>
      </c>
      <c r="M123" s="267">
        <f t="shared" si="55"/>
        <v>56142.9</v>
      </c>
      <c r="N123" s="268">
        <f t="shared" si="55"/>
        <v>56142.9</v>
      </c>
    </row>
    <row r="124" spans="1:14">
      <c r="A124" s="404"/>
      <c r="B124" s="269" t="s">
        <v>87</v>
      </c>
      <c r="C124" s="261">
        <f t="shared" ref="C124:N124" si="56">C109*4%</f>
        <v>74857.2</v>
      </c>
      <c r="D124" s="267">
        <f t="shared" si="56"/>
        <v>74857.2</v>
      </c>
      <c r="E124" s="267">
        <f t="shared" si="56"/>
        <v>74857.2</v>
      </c>
      <c r="F124" s="267">
        <f t="shared" si="56"/>
        <v>74857.2</v>
      </c>
      <c r="G124" s="267">
        <f t="shared" si="56"/>
        <v>74857.2</v>
      </c>
      <c r="H124" s="267">
        <f t="shared" si="56"/>
        <v>74857.2</v>
      </c>
      <c r="I124" s="267">
        <f t="shared" si="56"/>
        <v>74857.2</v>
      </c>
      <c r="J124" s="267">
        <f t="shared" si="56"/>
        <v>74857.2</v>
      </c>
      <c r="K124" s="267">
        <f t="shared" si="56"/>
        <v>74857.2</v>
      </c>
      <c r="L124" s="267">
        <f t="shared" si="56"/>
        <v>74857.2</v>
      </c>
      <c r="M124" s="267">
        <f t="shared" si="56"/>
        <v>74857.2</v>
      </c>
      <c r="N124" s="268">
        <f t="shared" si="56"/>
        <v>74857.2</v>
      </c>
    </row>
    <row r="125" spans="1:14">
      <c r="A125" s="255"/>
      <c r="B125" s="269"/>
      <c r="C125" s="261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8"/>
    </row>
    <row r="126" spans="1:14">
      <c r="A126" s="255"/>
      <c r="B126" s="269" t="s">
        <v>88</v>
      </c>
      <c r="C126" s="261">
        <f t="shared" ref="C126:D126" si="57">C108*(25/3)%</f>
        <v>165355.93666666668</v>
      </c>
      <c r="D126" s="267">
        <f t="shared" si="57"/>
        <v>165355.93666666668</v>
      </c>
      <c r="E126" s="267">
        <f>E108*(25/3)%</f>
        <v>165355.93666666668</v>
      </c>
      <c r="F126" s="267">
        <f t="shared" ref="F126:N126" si="58">F108*(25/3)%</f>
        <v>165355.93666666668</v>
      </c>
      <c r="G126" s="267">
        <f t="shared" si="58"/>
        <v>165355.93666666668</v>
      </c>
      <c r="H126" s="267">
        <f t="shared" si="58"/>
        <v>165355.93666666668</v>
      </c>
      <c r="I126" s="267">
        <f t="shared" si="58"/>
        <v>165355.93666666668</v>
      </c>
      <c r="J126" s="267">
        <f t="shared" si="58"/>
        <v>165355.93666666668</v>
      </c>
      <c r="K126" s="267">
        <f t="shared" si="58"/>
        <v>165355.93666666668</v>
      </c>
      <c r="L126" s="267">
        <f t="shared" si="58"/>
        <v>165355.93666666668</v>
      </c>
      <c r="M126" s="267">
        <f t="shared" si="58"/>
        <v>165355.93666666668</v>
      </c>
      <c r="N126" s="268">
        <f t="shared" si="58"/>
        <v>165355.93666666668</v>
      </c>
    </row>
    <row r="127" spans="1:14">
      <c r="A127" s="255"/>
      <c r="B127" s="269" t="s">
        <v>89</v>
      </c>
      <c r="C127" s="261">
        <f t="shared" ref="C127:N127" si="59">C108*(25/3)%</f>
        <v>165355.93666666668</v>
      </c>
      <c r="D127" s="267">
        <f t="shared" si="59"/>
        <v>165355.93666666668</v>
      </c>
      <c r="E127" s="267">
        <f t="shared" si="59"/>
        <v>165355.93666666668</v>
      </c>
      <c r="F127" s="267">
        <f t="shared" si="59"/>
        <v>165355.93666666668</v>
      </c>
      <c r="G127" s="267">
        <f t="shared" si="59"/>
        <v>165355.93666666668</v>
      </c>
      <c r="H127" s="267">
        <f t="shared" si="59"/>
        <v>165355.93666666668</v>
      </c>
      <c r="I127" s="267">
        <f t="shared" si="59"/>
        <v>165355.93666666668</v>
      </c>
      <c r="J127" s="267">
        <f t="shared" si="59"/>
        <v>165355.93666666668</v>
      </c>
      <c r="K127" s="267">
        <f t="shared" si="59"/>
        <v>165355.93666666668</v>
      </c>
      <c r="L127" s="267">
        <f t="shared" si="59"/>
        <v>165355.93666666668</v>
      </c>
      <c r="M127" s="267">
        <f t="shared" si="59"/>
        <v>165355.93666666668</v>
      </c>
      <c r="N127" s="268">
        <f t="shared" si="59"/>
        <v>165355.93666666668</v>
      </c>
    </row>
    <row r="128" spans="1:14">
      <c r="A128" s="255"/>
      <c r="B128" s="269" t="s">
        <v>90</v>
      </c>
      <c r="C128" s="261">
        <f t="shared" ref="C128:N128" si="60">C127*12%</f>
        <v>19842.7124</v>
      </c>
      <c r="D128" s="267">
        <f t="shared" si="60"/>
        <v>19842.7124</v>
      </c>
      <c r="E128" s="267">
        <f t="shared" si="60"/>
        <v>19842.7124</v>
      </c>
      <c r="F128" s="267">
        <f t="shared" si="60"/>
        <v>19842.7124</v>
      </c>
      <c r="G128" s="267">
        <f t="shared" si="60"/>
        <v>19842.7124</v>
      </c>
      <c r="H128" s="267">
        <f t="shared" si="60"/>
        <v>19842.7124</v>
      </c>
      <c r="I128" s="267">
        <f t="shared" si="60"/>
        <v>19842.7124</v>
      </c>
      <c r="J128" s="267">
        <f t="shared" si="60"/>
        <v>19842.7124</v>
      </c>
      <c r="K128" s="267">
        <f t="shared" si="60"/>
        <v>19842.7124</v>
      </c>
      <c r="L128" s="267">
        <f t="shared" si="60"/>
        <v>19842.7124</v>
      </c>
      <c r="M128" s="267">
        <f t="shared" si="60"/>
        <v>19842.7124</v>
      </c>
      <c r="N128" s="268">
        <f t="shared" si="60"/>
        <v>19842.7124</v>
      </c>
    </row>
    <row r="129" spans="1:14">
      <c r="A129" s="255"/>
      <c r="B129" s="269" t="s">
        <v>91</v>
      </c>
      <c r="C129" s="261">
        <f t="shared" ref="C129:N129" si="61">C102*(25/6)%</f>
        <v>77976.250000000015</v>
      </c>
      <c r="D129" s="267">
        <f t="shared" si="61"/>
        <v>77976.250000000015</v>
      </c>
      <c r="E129" s="267">
        <f t="shared" si="61"/>
        <v>77976.250000000015</v>
      </c>
      <c r="F129" s="267">
        <f t="shared" si="61"/>
        <v>77976.250000000015</v>
      </c>
      <c r="G129" s="267">
        <f t="shared" si="61"/>
        <v>77976.250000000015</v>
      </c>
      <c r="H129" s="267">
        <f t="shared" si="61"/>
        <v>77976.250000000015</v>
      </c>
      <c r="I129" s="267">
        <f t="shared" si="61"/>
        <v>77976.250000000015</v>
      </c>
      <c r="J129" s="267">
        <f t="shared" si="61"/>
        <v>77976.250000000015</v>
      </c>
      <c r="K129" s="267">
        <f t="shared" si="61"/>
        <v>77976.250000000015</v>
      </c>
      <c r="L129" s="267">
        <f t="shared" si="61"/>
        <v>77976.250000000015</v>
      </c>
      <c r="M129" s="267">
        <f t="shared" si="61"/>
        <v>77976.250000000015</v>
      </c>
      <c r="N129" s="268">
        <f t="shared" si="61"/>
        <v>77976.250000000015</v>
      </c>
    </row>
    <row r="130" spans="1:14">
      <c r="A130" s="255"/>
      <c r="B130" s="256"/>
      <c r="C130" s="261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8"/>
    </row>
    <row r="131" spans="1:14">
      <c r="A131" s="255"/>
      <c r="B131" s="256" t="s">
        <v>92</v>
      </c>
      <c r="C131" s="261">
        <f t="shared" ref="C131:N131" si="62">SUM(C111,C113:C129)</f>
        <v>2974642.7903333334</v>
      </c>
      <c r="D131" s="267">
        <f t="shared" si="62"/>
        <v>2974642.7903333334</v>
      </c>
      <c r="E131" s="267">
        <f t="shared" si="62"/>
        <v>2974642.7903333334</v>
      </c>
      <c r="F131" s="267">
        <f t="shared" si="62"/>
        <v>2974642.7903333334</v>
      </c>
      <c r="G131" s="267">
        <f t="shared" si="62"/>
        <v>2974642.7903333334</v>
      </c>
      <c r="H131" s="267">
        <f t="shared" si="62"/>
        <v>2974642.7903333334</v>
      </c>
      <c r="I131" s="267">
        <f t="shared" si="62"/>
        <v>2974642.7903333334</v>
      </c>
      <c r="J131" s="267">
        <f t="shared" si="62"/>
        <v>2974642.7903333334</v>
      </c>
      <c r="K131" s="267">
        <f t="shared" si="62"/>
        <v>2974642.7903333334</v>
      </c>
      <c r="L131" s="267">
        <f t="shared" si="62"/>
        <v>2974642.7903333334</v>
      </c>
      <c r="M131" s="267">
        <f t="shared" si="62"/>
        <v>2974642.7903333334</v>
      </c>
      <c r="N131" s="268">
        <f t="shared" si="62"/>
        <v>2974642.7903333334</v>
      </c>
    </row>
    <row r="132" spans="1:14">
      <c r="A132" s="255"/>
      <c r="B132" s="256" t="s">
        <v>93</v>
      </c>
      <c r="C132" s="261">
        <f>C131-SUM(C126:C129)</f>
        <v>2546111.9545999998</v>
      </c>
      <c r="D132" s="267">
        <f t="shared" ref="D132:N132" si="63">D131-SUM(D126:D129)</f>
        <v>2546111.9545999998</v>
      </c>
      <c r="E132" s="267">
        <f t="shared" si="63"/>
        <v>2546111.9545999998</v>
      </c>
      <c r="F132" s="267">
        <f t="shared" si="63"/>
        <v>2546111.9545999998</v>
      </c>
      <c r="G132" s="267">
        <f t="shared" si="63"/>
        <v>2546111.9545999998</v>
      </c>
      <c r="H132" s="267">
        <f t="shared" si="63"/>
        <v>2546111.9545999998</v>
      </c>
      <c r="I132" s="267">
        <f t="shared" si="63"/>
        <v>2546111.9545999998</v>
      </c>
      <c r="J132" s="267">
        <f t="shared" si="63"/>
        <v>2546111.9545999998</v>
      </c>
      <c r="K132" s="267">
        <f t="shared" si="63"/>
        <v>2546111.9545999998</v>
      </c>
      <c r="L132" s="267">
        <f t="shared" si="63"/>
        <v>2546111.9545999998</v>
      </c>
      <c r="M132" s="267">
        <f t="shared" si="63"/>
        <v>2546111.9545999998</v>
      </c>
      <c r="N132" s="268">
        <f t="shared" si="63"/>
        <v>2546111.9545999998</v>
      </c>
    </row>
    <row r="133" spans="1:14">
      <c r="A133" s="255"/>
      <c r="B133" s="256" t="s">
        <v>94</v>
      </c>
      <c r="C133" s="271">
        <v>2</v>
      </c>
      <c r="D133" s="271">
        <f>C133</f>
        <v>2</v>
      </c>
      <c r="E133" s="271">
        <f t="shared" ref="E133:N133" si="64">D133</f>
        <v>2</v>
      </c>
      <c r="F133" s="271">
        <f t="shared" si="64"/>
        <v>2</v>
      </c>
      <c r="G133" s="271">
        <f t="shared" si="64"/>
        <v>2</v>
      </c>
      <c r="H133" s="271">
        <f t="shared" si="64"/>
        <v>2</v>
      </c>
      <c r="I133" s="271">
        <f t="shared" si="64"/>
        <v>2</v>
      </c>
      <c r="J133" s="271">
        <f t="shared" si="64"/>
        <v>2</v>
      </c>
      <c r="K133" s="271">
        <f t="shared" si="64"/>
        <v>2</v>
      </c>
      <c r="L133" s="271">
        <f t="shared" si="64"/>
        <v>2</v>
      </c>
      <c r="M133" s="271">
        <f t="shared" si="64"/>
        <v>2</v>
      </c>
      <c r="N133" s="272">
        <f t="shared" si="64"/>
        <v>2</v>
      </c>
    </row>
    <row r="134" spans="1:14">
      <c r="A134" s="255"/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8"/>
    </row>
    <row r="135" spans="1:14">
      <c r="A135" s="255"/>
      <c r="B135" s="256"/>
      <c r="C135" s="257">
        <f>(C131*100%/C109)-1</f>
        <v>0.58950256773340892</v>
      </c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8"/>
    </row>
    <row r="136" spans="1:14">
      <c r="A136" s="255"/>
      <c r="B136" s="256"/>
      <c r="C136" s="264" t="s">
        <v>55</v>
      </c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8"/>
    </row>
    <row r="137" spans="1:14">
      <c r="A137" s="255"/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8"/>
    </row>
    <row r="138" spans="1:14">
      <c r="A138" s="255"/>
      <c r="B138" s="256"/>
      <c r="C138" s="256" t="s">
        <v>93</v>
      </c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8"/>
    </row>
    <row r="139" spans="1:14">
      <c r="A139" s="255"/>
      <c r="B139" s="256"/>
      <c r="C139" s="256" t="s">
        <v>95</v>
      </c>
      <c r="D139" s="256">
        <v>1</v>
      </c>
      <c r="E139" s="256">
        <v>2</v>
      </c>
      <c r="F139" s="256">
        <v>3</v>
      </c>
      <c r="G139" s="256">
        <v>4</v>
      </c>
      <c r="H139" s="256"/>
      <c r="I139" s="256"/>
      <c r="J139" s="256"/>
      <c r="K139" s="256"/>
      <c r="L139" s="256"/>
      <c r="M139" s="256"/>
      <c r="N139" s="258"/>
    </row>
    <row r="140" spans="1:14">
      <c r="A140" s="255"/>
      <c r="B140" s="256"/>
      <c r="C140" s="256"/>
      <c r="D140" s="267">
        <f>SUM(C132:E132)</f>
        <v>7638335.8637999995</v>
      </c>
      <c r="E140" s="267">
        <f>SUM(F132:H132,C126:H126)</f>
        <v>8630471.4837999996</v>
      </c>
      <c r="F140" s="267">
        <f>SUM(I132:K132)</f>
        <v>7638335.8637999995</v>
      </c>
      <c r="G140" s="267">
        <f>SUM(L132:N132,C129:N129,C128:N128,C127:N127,I126:N126)</f>
        <v>11788570.272600021</v>
      </c>
      <c r="H140" s="256"/>
      <c r="I140" s="256"/>
      <c r="J140" s="256"/>
      <c r="K140" s="256"/>
      <c r="L140" s="256"/>
      <c r="M140" s="256"/>
      <c r="N140" s="258"/>
    </row>
    <row r="141" spans="1:14">
      <c r="A141" s="255"/>
      <c r="B141" s="256"/>
      <c r="C141" s="256"/>
      <c r="D141" s="273">
        <f>D140*$C$37</f>
        <v>15276671.727599999</v>
      </c>
      <c r="E141" s="273">
        <f t="shared" ref="E141:G141" si="65">E140*$C$37</f>
        <v>17260942.967599999</v>
      </c>
      <c r="F141" s="273">
        <f t="shared" si="65"/>
        <v>15276671.727599999</v>
      </c>
      <c r="G141" s="273">
        <f t="shared" si="65"/>
        <v>23577140.545200042</v>
      </c>
      <c r="H141" s="256"/>
      <c r="I141" s="256"/>
      <c r="J141" s="256"/>
      <c r="K141" s="256"/>
      <c r="L141" s="256"/>
      <c r="M141" s="256"/>
      <c r="N141" s="258"/>
    </row>
    <row r="142" spans="1:14">
      <c r="A142" s="255"/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8"/>
    </row>
    <row r="143" spans="1:14">
      <c r="A143" s="255"/>
      <c r="B143" s="256" t="s">
        <v>96</v>
      </c>
      <c r="C143" s="274">
        <f>SUM(C111,C113:C114,C116:C117,C119,C122:C124,C80:N80)</f>
        <v>2770746.4346000007</v>
      </c>
      <c r="D143" s="274">
        <f>SUM(D111,D113:D114,D116:D117,D119,D122:D124,C79:N79)</f>
        <v>4418065.9545999989</v>
      </c>
      <c r="E143" s="274">
        <f>SUM(E111,E113:E114,E116:E117,E119,E122:E124)</f>
        <v>2546111.9546000003</v>
      </c>
      <c r="F143" s="274">
        <f>SUM(F111,F113:F114,F116:F117,F119,F122:F124)</f>
        <v>2546111.9546000003</v>
      </c>
      <c r="G143" s="274">
        <f>SUM(G111,G113:G114,G116:G117,G119,G122:G124)</f>
        <v>2546111.9546000003</v>
      </c>
      <c r="H143" s="274">
        <f>SUM(H111,H113:H114,H116:H117,H119,H122:H124,C126:H126)</f>
        <v>3538247.5745999995</v>
      </c>
      <c r="I143" s="274">
        <f>SUM(I111,I113:I114,I116:I117,I119,I122:I124)</f>
        <v>2546111.9546000003</v>
      </c>
      <c r="J143" s="274">
        <f t="shared" ref="J143:M143" si="66">SUM(J111,J113:J114,J116:J117,J119,J122:J124)</f>
        <v>2546111.9546000003</v>
      </c>
      <c r="K143" s="274">
        <f t="shared" si="66"/>
        <v>2546111.9546000003</v>
      </c>
      <c r="L143" s="274">
        <f t="shared" si="66"/>
        <v>2546111.9546000003</v>
      </c>
      <c r="M143" s="274">
        <f t="shared" si="66"/>
        <v>2546111.9546000003</v>
      </c>
      <c r="N143" s="275">
        <f>SUM(N111,N113:N114,N116:N117,N119,N122:N124,I126:N126,C129:N129)</f>
        <v>4473962.5745999999</v>
      </c>
    </row>
    <row r="144" spans="1:14" ht="15.75" thickBot="1">
      <c r="A144" s="276"/>
      <c r="B144" s="277" t="s">
        <v>97</v>
      </c>
      <c r="C144" s="278">
        <f>SUM(C143:N143)</f>
        <v>35569918.1752</v>
      </c>
      <c r="D144" s="279">
        <f>C144*4</f>
        <v>142279672.7008</v>
      </c>
      <c r="E144" s="277"/>
      <c r="F144" s="277"/>
      <c r="G144" s="277"/>
      <c r="H144" s="277"/>
      <c r="I144" s="277"/>
      <c r="J144" s="277"/>
      <c r="K144" s="277"/>
      <c r="L144" s="277"/>
      <c r="M144" s="277"/>
      <c r="N144" s="280"/>
    </row>
    <row r="145" spans="1:14">
      <c r="A145" s="281" t="s">
        <v>100</v>
      </c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3"/>
    </row>
    <row r="146" spans="1:14">
      <c r="A146" s="284"/>
      <c r="B146" s="285" t="s">
        <v>68</v>
      </c>
      <c r="C146" s="285">
        <v>1</v>
      </c>
      <c r="D146" s="286">
        <f>0.00522</f>
        <v>5.2199999999999998E-3</v>
      </c>
      <c r="E146" s="285"/>
      <c r="F146" s="285"/>
      <c r="G146" s="285"/>
      <c r="H146" s="285"/>
      <c r="I146" s="285"/>
      <c r="J146" s="285"/>
      <c r="K146" s="285"/>
      <c r="L146" s="285"/>
      <c r="M146" s="285"/>
      <c r="N146" s="287"/>
    </row>
    <row r="147" spans="1:14">
      <c r="A147" s="284"/>
      <c r="B147" s="285"/>
      <c r="C147" s="285">
        <v>2</v>
      </c>
      <c r="D147" s="286">
        <f>1.044%</f>
        <v>1.044E-2</v>
      </c>
      <c r="E147" s="285"/>
      <c r="F147" s="285"/>
      <c r="G147" s="285"/>
      <c r="H147" s="285"/>
      <c r="I147" s="285"/>
      <c r="J147" s="285"/>
      <c r="K147" s="285"/>
      <c r="L147" s="285"/>
      <c r="M147" s="285"/>
      <c r="N147" s="287"/>
    </row>
    <row r="148" spans="1:14">
      <c r="A148" s="284"/>
      <c r="B148" s="285"/>
      <c r="C148" s="285">
        <v>3</v>
      </c>
      <c r="D148" s="288">
        <v>2.436E-2</v>
      </c>
      <c r="E148" s="285"/>
      <c r="F148" s="285"/>
      <c r="G148" s="285"/>
      <c r="H148" s="285"/>
      <c r="I148" s="285"/>
      <c r="J148" s="285"/>
      <c r="K148" s="285"/>
      <c r="L148" s="285"/>
      <c r="M148" s="285"/>
      <c r="N148" s="287"/>
    </row>
    <row r="149" spans="1:14">
      <c r="A149" s="284"/>
      <c r="B149" s="285"/>
      <c r="C149" s="289">
        <v>0.04</v>
      </c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7"/>
    </row>
    <row r="150" spans="1:14">
      <c r="A150" s="284"/>
      <c r="B150" s="285" t="s">
        <v>69</v>
      </c>
      <c r="C150" s="290">
        <f>C102*(1+C149)</f>
        <v>1946287.2</v>
      </c>
      <c r="D150" s="290">
        <f>C150</f>
        <v>1946287.2</v>
      </c>
      <c r="E150" s="290">
        <f t="shared" ref="E150:N150" si="67">D150</f>
        <v>1946287.2</v>
      </c>
      <c r="F150" s="290">
        <f t="shared" si="67"/>
        <v>1946287.2</v>
      </c>
      <c r="G150" s="290">
        <f t="shared" si="67"/>
        <v>1946287.2</v>
      </c>
      <c r="H150" s="290">
        <f t="shared" si="67"/>
        <v>1946287.2</v>
      </c>
      <c r="I150" s="290">
        <f t="shared" si="67"/>
        <v>1946287.2</v>
      </c>
      <c r="J150" s="290">
        <f t="shared" si="67"/>
        <v>1946287.2</v>
      </c>
      <c r="K150" s="290">
        <f t="shared" si="67"/>
        <v>1946287.2</v>
      </c>
      <c r="L150" s="290">
        <f t="shared" si="67"/>
        <v>1946287.2</v>
      </c>
      <c r="M150" s="290">
        <f t="shared" si="67"/>
        <v>1946287.2</v>
      </c>
      <c r="N150" s="291">
        <f t="shared" si="67"/>
        <v>1946287.2</v>
      </c>
    </row>
    <row r="151" spans="1:14">
      <c r="A151" s="284"/>
      <c r="B151" s="285" t="s">
        <v>70</v>
      </c>
      <c r="C151" s="290">
        <f>IF(C150&lt;2*908526*(1+$C$101)*(1+$C$149),106454*(1+$C$101)*(1+$C$149),0)</f>
        <v>117354.88960000001</v>
      </c>
      <c r="D151" s="290">
        <f t="shared" ref="D151:N151" si="68">IF(D150&lt;2*908526*(1+$C$101)*(1+$C$149),106454*(1+$C$101)*(1+$C$149),0)</f>
        <v>117354.88960000001</v>
      </c>
      <c r="E151" s="290">
        <f t="shared" si="68"/>
        <v>117354.88960000001</v>
      </c>
      <c r="F151" s="290">
        <f t="shared" si="68"/>
        <v>117354.88960000001</v>
      </c>
      <c r="G151" s="290">
        <f t="shared" si="68"/>
        <v>117354.88960000001</v>
      </c>
      <c r="H151" s="290">
        <f t="shared" si="68"/>
        <v>117354.88960000001</v>
      </c>
      <c r="I151" s="290">
        <f t="shared" si="68"/>
        <v>117354.88960000001</v>
      </c>
      <c r="J151" s="290">
        <f t="shared" si="68"/>
        <v>117354.88960000001</v>
      </c>
      <c r="K151" s="290">
        <f t="shared" si="68"/>
        <v>117354.88960000001</v>
      </c>
      <c r="L151" s="290">
        <f t="shared" si="68"/>
        <v>117354.88960000001</v>
      </c>
      <c r="M151" s="290">
        <f t="shared" si="68"/>
        <v>117354.88960000001</v>
      </c>
      <c r="N151" s="290">
        <f t="shared" si="68"/>
        <v>117354.88960000001</v>
      </c>
    </row>
    <row r="152" spans="1:14">
      <c r="A152" s="292"/>
      <c r="B152" s="285" t="s">
        <v>71</v>
      </c>
      <c r="C152" s="293">
        <v>0</v>
      </c>
      <c r="D152" s="293">
        <v>0</v>
      </c>
      <c r="E152" s="293">
        <v>0</v>
      </c>
      <c r="F152" s="293">
        <v>0</v>
      </c>
      <c r="G152" s="293">
        <v>0</v>
      </c>
      <c r="H152" s="293">
        <v>0</v>
      </c>
      <c r="I152" s="293">
        <v>0</v>
      </c>
      <c r="J152" s="293">
        <v>0</v>
      </c>
      <c r="K152" s="293">
        <v>0</v>
      </c>
      <c r="L152" s="293">
        <v>0</v>
      </c>
      <c r="M152" s="293">
        <v>0</v>
      </c>
      <c r="N152" s="294">
        <v>0</v>
      </c>
    </row>
    <row r="153" spans="1:14">
      <c r="A153" s="284"/>
      <c r="B153" s="285" t="s">
        <v>72</v>
      </c>
      <c r="C153" s="295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4"/>
    </row>
    <row r="154" spans="1:14">
      <c r="A154" s="284"/>
      <c r="B154" s="285" t="s">
        <v>73</v>
      </c>
      <c r="C154" s="295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4"/>
    </row>
    <row r="155" spans="1:14">
      <c r="A155" s="284"/>
      <c r="B155" s="285"/>
      <c r="C155" s="295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4"/>
    </row>
    <row r="156" spans="1:14">
      <c r="A156" s="405" t="s">
        <v>74</v>
      </c>
      <c r="B156" s="285" t="s">
        <v>75</v>
      </c>
      <c r="C156" s="290">
        <f t="shared" ref="C156:E156" si="69">SUM(C150:C154)</f>
        <v>2063642.0896000001</v>
      </c>
      <c r="D156" s="293">
        <f t="shared" si="69"/>
        <v>2063642.0896000001</v>
      </c>
      <c r="E156" s="293">
        <f t="shared" si="69"/>
        <v>2063642.0896000001</v>
      </c>
      <c r="F156" s="293">
        <f>SUM(F150:F154)</f>
        <v>2063642.0896000001</v>
      </c>
      <c r="G156" s="293">
        <f t="shared" ref="G156:N156" si="70">SUM(G150:G154)</f>
        <v>2063642.0896000001</v>
      </c>
      <c r="H156" s="293">
        <f t="shared" si="70"/>
        <v>2063642.0896000001</v>
      </c>
      <c r="I156" s="293">
        <f t="shared" si="70"/>
        <v>2063642.0896000001</v>
      </c>
      <c r="J156" s="293">
        <f t="shared" si="70"/>
        <v>2063642.0896000001</v>
      </c>
      <c r="K156" s="293">
        <f t="shared" si="70"/>
        <v>2063642.0896000001</v>
      </c>
      <c r="L156" s="293">
        <f t="shared" si="70"/>
        <v>2063642.0896000001</v>
      </c>
      <c r="M156" s="293">
        <f t="shared" si="70"/>
        <v>2063642.0896000001</v>
      </c>
      <c r="N156" s="294">
        <f t="shared" si="70"/>
        <v>2063642.0896000001</v>
      </c>
    </row>
    <row r="157" spans="1:14">
      <c r="A157" s="405"/>
      <c r="B157" s="285" t="s">
        <v>76</v>
      </c>
      <c r="C157" s="290">
        <f t="shared" ref="C157:N157" si="71">C156-C151</f>
        <v>1946287.2</v>
      </c>
      <c r="D157" s="296">
        <f t="shared" si="71"/>
        <v>1946287.2</v>
      </c>
      <c r="E157" s="296">
        <f t="shared" si="71"/>
        <v>1946287.2</v>
      </c>
      <c r="F157" s="296">
        <f t="shared" si="71"/>
        <v>1946287.2</v>
      </c>
      <c r="G157" s="296">
        <f t="shared" si="71"/>
        <v>1946287.2</v>
      </c>
      <c r="H157" s="296">
        <f t="shared" si="71"/>
        <v>1946287.2</v>
      </c>
      <c r="I157" s="296">
        <f t="shared" si="71"/>
        <v>1946287.2</v>
      </c>
      <c r="J157" s="296">
        <f t="shared" si="71"/>
        <v>1946287.2</v>
      </c>
      <c r="K157" s="296">
        <f t="shared" si="71"/>
        <v>1946287.2</v>
      </c>
      <c r="L157" s="296">
        <f t="shared" si="71"/>
        <v>1946287.2</v>
      </c>
      <c r="M157" s="296">
        <f t="shared" si="71"/>
        <v>1946287.2</v>
      </c>
      <c r="N157" s="297">
        <f t="shared" si="71"/>
        <v>1946287.2</v>
      </c>
    </row>
    <row r="158" spans="1:14">
      <c r="A158" s="284"/>
      <c r="B158" s="285"/>
      <c r="C158" s="290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7"/>
    </row>
    <row r="159" spans="1:14">
      <c r="A159" s="284"/>
      <c r="B159" s="285" t="s">
        <v>77</v>
      </c>
      <c r="C159" s="290">
        <f t="shared" ref="C159:N159" si="72">C156-C161-C164</f>
        <v>1907939.1136000003</v>
      </c>
      <c r="D159" s="296">
        <f t="shared" si="72"/>
        <v>1907939.1136000003</v>
      </c>
      <c r="E159" s="296">
        <f t="shared" si="72"/>
        <v>1907939.1136000003</v>
      </c>
      <c r="F159" s="296">
        <f t="shared" si="72"/>
        <v>1907939.1136000003</v>
      </c>
      <c r="G159" s="296">
        <f t="shared" si="72"/>
        <v>1907939.1136000003</v>
      </c>
      <c r="H159" s="296">
        <f t="shared" si="72"/>
        <v>1907939.1136000003</v>
      </c>
      <c r="I159" s="296">
        <f t="shared" si="72"/>
        <v>1907939.1136000003</v>
      </c>
      <c r="J159" s="296">
        <f t="shared" si="72"/>
        <v>1907939.1136000003</v>
      </c>
      <c r="K159" s="296">
        <f t="shared" si="72"/>
        <v>1907939.1136000003</v>
      </c>
      <c r="L159" s="296">
        <f t="shared" si="72"/>
        <v>1907939.1136000003</v>
      </c>
      <c r="M159" s="296">
        <f t="shared" si="72"/>
        <v>1907939.1136000003</v>
      </c>
      <c r="N159" s="297">
        <f t="shared" si="72"/>
        <v>1907939.1136000003</v>
      </c>
    </row>
    <row r="160" spans="1:14">
      <c r="A160" s="284"/>
      <c r="B160" s="285"/>
      <c r="C160" s="290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7"/>
    </row>
    <row r="161" spans="1:14">
      <c r="A161" s="403" t="s">
        <v>78</v>
      </c>
      <c r="B161" s="298" t="s">
        <v>79</v>
      </c>
      <c r="C161" s="290">
        <f t="shared" ref="C161:N161" si="73">C157*4%</f>
        <v>77851.487999999998</v>
      </c>
      <c r="D161" s="296">
        <f t="shared" si="73"/>
        <v>77851.487999999998</v>
      </c>
      <c r="E161" s="296">
        <f t="shared" si="73"/>
        <v>77851.487999999998</v>
      </c>
      <c r="F161" s="296">
        <f t="shared" si="73"/>
        <v>77851.487999999998</v>
      </c>
      <c r="G161" s="296">
        <f t="shared" si="73"/>
        <v>77851.487999999998</v>
      </c>
      <c r="H161" s="296">
        <f t="shared" si="73"/>
        <v>77851.487999999998</v>
      </c>
      <c r="I161" s="296">
        <f t="shared" si="73"/>
        <v>77851.487999999998</v>
      </c>
      <c r="J161" s="296">
        <f t="shared" si="73"/>
        <v>77851.487999999998</v>
      </c>
      <c r="K161" s="296">
        <f t="shared" si="73"/>
        <v>77851.487999999998</v>
      </c>
      <c r="L161" s="296">
        <f t="shared" si="73"/>
        <v>77851.487999999998</v>
      </c>
      <c r="M161" s="296">
        <f t="shared" si="73"/>
        <v>77851.487999999998</v>
      </c>
      <c r="N161" s="297">
        <f t="shared" si="73"/>
        <v>77851.487999999998</v>
      </c>
    </row>
    <row r="162" spans="1:14">
      <c r="A162" s="403"/>
      <c r="B162" s="298" t="s">
        <v>80</v>
      </c>
      <c r="C162" s="290">
        <f t="shared" ref="C162:N162" si="74">C157*8.5%</f>
        <v>165434.41200000001</v>
      </c>
      <c r="D162" s="296">
        <f t="shared" si="74"/>
        <v>165434.41200000001</v>
      </c>
      <c r="E162" s="296">
        <f t="shared" si="74"/>
        <v>165434.41200000001</v>
      </c>
      <c r="F162" s="296">
        <f t="shared" si="74"/>
        <v>165434.41200000001</v>
      </c>
      <c r="G162" s="296">
        <f t="shared" si="74"/>
        <v>165434.41200000001</v>
      </c>
      <c r="H162" s="296">
        <f t="shared" si="74"/>
        <v>165434.41200000001</v>
      </c>
      <c r="I162" s="296">
        <f t="shared" si="74"/>
        <v>165434.41200000001</v>
      </c>
      <c r="J162" s="296">
        <f t="shared" si="74"/>
        <v>165434.41200000001</v>
      </c>
      <c r="K162" s="296">
        <f t="shared" si="74"/>
        <v>165434.41200000001</v>
      </c>
      <c r="L162" s="296">
        <f t="shared" si="74"/>
        <v>165434.41200000001</v>
      </c>
      <c r="M162" s="296">
        <f t="shared" si="74"/>
        <v>165434.41200000001</v>
      </c>
      <c r="N162" s="297">
        <f t="shared" si="74"/>
        <v>165434.41200000001</v>
      </c>
    </row>
    <row r="163" spans="1:14">
      <c r="A163" s="284"/>
      <c r="B163" s="298"/>
      <c r="C163" s="290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7"/>
    </row>
    <row r="164" spans="1:14">
      <c r="A164" s="403" t="s">
        <v>81</v>
      </c>
      <c r="B164" s="298" t="s">
        <v>82</v>
      </c>
      <c r="C164" s="290">
        <f t="shared" ref="C164:N164" si="75">C157*4%</f>
        <v>77851.487999999998</v>
      </c>
      <c r="D164" s="296">
        <f t="shared" si="75"/>
        <v>77851.487999999998</v>
      </c>
      <c r="E164" s="296">
        <f t="shared" si="75"/>
        <v>77851.487999999998</v>
      </c>
      <c r="F164" s="296">
        <f t="shared" si="75"/>
        <v>77851.487999999998</v>
      </c>
      <c r="G164" s="296">
        <f t="shared" si="75"/>
        <v>77851.487999999998</v>
      </c>
      <c r="H164" s="296">
        <f t="shared" si="75"/>
        <v>77851.487999999998</v>
      </c>
      <c r="I164" s="296">
        <f t="shared" si="75"/>
        <v>77851.487999999998</v>
      </c>
      <c r="J164" s="296">
        <f t="shared" si="75"/>
        <v>77851.487999999998</v>
      </c>
      <c r="K164" s="296">
        <f t="shared" si="75"/>
        <v>77851.487999999998</v>
      </c>
      <c r="L164" s="296">
        <f t="shared" si="75"/>
        <v>77851.487999999998</v>
      </c>
      <c r="M164" s="296">
        <f t="shared" si="75"/>
        <v>77851.487999999998</v>
      </c>
      <c r="N164" s="297">
        <f t="shared" si="75"/>
        <v>77851.487999999998</v>
      </c>
    </row>
    <row r="165" spans="1:14">
      <c r="A165" s="403"/>
      <c r="B165" s="298" t="s">
        <v>80</v>
      </c>
      <c r="C165" s="290">
        <f t="shared" ref="C165:N165" si="76">C157*12%</f>
        <v>233554.46399999998</v>
      </c>
      <c r="D165" s="296">
        <f t="shared" si="76"/>
        <v>233554.46399999998</v>
      </c>
      <c r="E165" s="296">
        <f t="shared" si="76"/>
        <v>233554.46399999998</v>
      </c>
      <c r="F165" s="296">
        <f t="shared" si="76"/>
        <v>233554.46399999998</v>
      </c>
      <c r="G165" s="296">
        <f t="shared" si="76"/>
        <v>233554.46399999998</v>
      </c>
      <c r="H165" s="296">
        <f t="shared" si="76"/>
        <v>233554.46399999998</v>
      </c>
      <c r="I165" s="296">
        <f t="shared" si="76"/>
        <v>233554.46399999998</v>
      </c>
      <c r="J165" s="296">
        <f t="shared" si="76"/>
        <v>233554.46399999998</v>
      </c>
      <c r="K165" s="296">
        <f t="shared" si="76"/>
        <v>233554.46399999998</v>
      </c>
      <c r="L165" s="296">
        <f t="shared" si="76"/>
        <v>233554.46399999998</v>
      </c>
      <c r="M165" s="296">
        <f t="shared" si="76"/>
        <v>233554.46399999998</v>
      </c>
      <c r="N165" s="297">
        <f t="shared" si="76"/>
        <v>233554.46399999998</v>
      </c>
    </row>
    <row r="166" spans="1:14">
      <c r="A166" s="284"/>
      <c r="B166" s="298"/>
      <c r="C166" s="290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7"/>
    </row>
    <row r="167" spans="1:14">
      <c r="A167" s="284" t="s">
        <v>83</v>
      </c>
      <c r="B167" s="299">
        <v>1</v>
      </c>
      <c r="C167" s="290">
        <f>IF(B167=C146,D146*C157,IF(B167=C147,D147*C157,IF(B167=C148,D148*C157,0)))</f>
        <v>10159.619183999999</v>
      </c>
      <c r="D167" s="296">
        <f>IF(B167=C146,D146*C157,IF(B167=C147,D147*C157,IF(B167=C148,D148*C157,0)))</f>
        <v>10159.619183999999</v>
      </c>
      <c r="E167" s="296">
        <f>IF(B167=C146,D146*C157,IF(B167=C147,D147*C157,IF(B167=C148,D148*C157,0)))</f>
        <v>10159.619183999999</v>
      </c>
      <c r="F167" s="296">
        <f>IF(B167=C146,D146*C157,IF(B167=C147,D147*C157,IF(B167=C148,D148*C157,0)))</f>
        <v>10159.619183999999</v>
      </c>
      <c r="G167" s="296">
        <f>IF(B167=C146,D146*C157,IF(B167=C147,D147*C157,IF(B167=C148,D148*C157,0)))</f>
        <v>10159.619183999999</v>
      </c>
      <c r="H167" s="296">
        <f>IF(B167=C146,D146*C157,IF(B167=C147,D147*C157,IF(B167=C148,D148*C157,0)))</f>
        <v>10159.619183999999</v>
      </c>
      <c r="I167" s="296">
        <f>IF(B167=C146,D146*C157,IF(B167=C147,D147*C157,IF(B167=C148,D148*C157,0)))</f>
        <v>10159.619183999999</v>
      </c>
      <c r="J167" s="296">
        <f>IF(B167=C146,D146*C157,IF(B167=C147,D147*C157,IF(B167=C148,D148*C157,0)))</f>
        <v>10159.619183999999</v>
      </c>
      <c r="K167" s="296">
        <f>IF(B167=C146,D146*C157,IF(B167=C147,D147*C157,IF(B167=C148,D148*C157,0)))</f>
        <v>10159.619183999999</v>
      </c>
      <c r="L167" s="296">
        <f>IF(B167=C146,D146*C157,IF(B167=C147,D147*C157,IF(B167=C148,D148*C157,0)))</f>
        <v>10159.619183999999</v>
      </c>
      <c r="M167" s="296">
        <f>IF(B167=C146,D146*C157,IF(B167=C147,D147*C157,IF(B167=C148,D148*C157,0)))</f>
        <v>10159.619183999999</v>
      </c>
      <c r="N167" s="297">
        <f>IF(B167=C146,D146*C157,IF(B167=C147,D147*C157,IF(B167=C148,D148*C157,0)))</f>
        <v>10159.619183999999</v>
      </c>
    </row>
    <row r="168" spans="1:14">
      <c r="A168" s="284"/>
      <c r="B168" s="298"/>
      <c r="C168" s="290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7"/>
    </row>
    <row r="169" spans="1:14">
      <c r="A169" s="284"/>
      <c r="B169" s="298"/>
      <c r="C169" s="290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7"/>
    </row>
    <row r="170" spans="1:14">
      <c r="A170" s="403" t="s">
        <v>84</v>
      </c>
      <c r="B170" s="298" t="s">
        <v>85</v>
      </c>
      <c r="C170" s="290">
        <f t="shared" ref="C170:N170" si="77">2%*C157</f>
        <v>38925.743999999999</v>
      </c>
      <c r="D170" s="296">
        <f t="shared" si="77"/>
        <v>38925.743999999999</v>
      </c>
      <c r="E170" s="296">
        <f t="shared" si="77"/>
        <v>38925.743999999999</v>
      </c>
      <c r="F170" s="296">
        <f t="shared" si="77"/>
        <v>38925.743999999999</v>
      </c>
      <c r="G170" s="296">
        <f t="shared" si="77"/>
        <v>38925.743999999999</v>
      </c>
      <c r="H170" s="296">
        <f t="shared" si="77"/>
        <v>38925.743999999999</v>
      </c>
      <c r="I170" s="296">
        <f t="shared" si="77"/>
        <v>38925.743999999999</v>
      </c>
      <c r="J170" s="296">
        <f t="shared" si="77"/>
        <v>38925.743999999999</v>
      </c>
      <c r="K170" s="296">
        <f t="shared" si="77"/>
        <v>38925.743999999999</v>
      </c>
      <c r="L170" s="296">
        <f t="shared" si="77"/>
        <v>38925.743999999999</v>
      </c>
      <c r="M170" s="296">
        <f t="shared" si="77"/>
        <v>38925.743999999999</v>
      </c>
      <c r="N170" s="297">
        <f t="shared" si="77"/>
        <v>38925.743999999999</v>
      </c>
    </row>
    <row r="171" spans="1:14">
      <c r="A171" s="403"/>
      <c r="B171" s="298" t="s">
        <v>86</v>
      </c>
      <c r="C171" s="290">
        <f t="shared" ref="C171:N171" si="78">C157*3%</f>
        <v>58388.615999999995</v>
      </c>
      <c r="D171" s="296">
        <f t="shared" si="78"/>
        <v>58388.615999999995</v>
      </c>
      <c r="E171" s="296">
        <f t="shared" si="78"/>
        <v>58388.615999999995</v>
      </c>
      <c r="F171" s="296">
        <f t="shared" si="78"/>
        <v>58388.615999999995</v>
      </c>
      <c r="G171" s="296">
        <f t="shared" si="78"/>
        <v>58388.615999999995</v>
      </c>
      <c r="H171" s="296">
        <f t="shared" si="78"/>
        <v>58388.615999999995</v>
      </c>
      <c r="I171" s="296">
        <f t="shared" si="78"/>
        <v>58388.615999999995</v>
      </c>
      <c r="J171" s="296">
        <f t="shared" si="78"/>
        <v>58388.615999999995</v>
      </c>
      <c r="K171" s="296">
        <f t="shared" si="78"/>
        <v>58388.615999999995</v>
      </c>
      <c r="L171" s="296">
        <f t="shared" si="78"/>
        <v>58388.615999999995</v>
      </c>
      <c r="M171" s="296">
        <f t="shared" si="78"/>
        <v>58388.615999999995</v>
      </c>
      <c r="N171" s="297">
        <f t="shared" si="78"/>
        <v>58388.615999999995</v>
      </c>
    </row>
    <row r="172" spans="1:14">
      <c r="A172" s="403"/>
      <c r="B172" s="298" t="s">
        <v>87</v>
      </c>
      <c r="C172" s="290">
        <f t="shared" ref="C172:N172" si="79">C157*4%</f>
        <v>77851.487999999998</v>
      </c>
      <c r="D172" s="296">
        <f t="shared" si="79"/>
        <v>77851.487999999998</v>
      </c>
      <c r="E172" s="296">
        <f t="shared" si="79"/>
        <v>77851.487999999998</v>
      </c>
      <c r="F172" s="296">
        <f t="shared" si="79"/>
        <v>77851.487999999998</v>
      </c>
      <c r="G172" s="296">
        <f t="shared" si="79"/>
        <v>77851.487999999998</v>
      </c>
      <c r="H172" s="296">
        <f t="shared" si="79"/>
        <v>77851.487999999998</v>
      </c>
      <c r="I172" s="296">
        <f t="shared" si="79"/>
        <v>77851.487999999998</v>
      </c>
      <c r="J172" s="296">
        <f t="shared" si="79"/>
        <v>77851.487999999998</v>
      </c>
      <c r="K172" s="296">
        <f t="shared" si="79"/>
        <v>77851.487999999998</v>
      </c>
      <c r="L172" s="296">
        <f t="shared" si="79"/>
        <v>77851.487999999998</v>
      </c>
      <c r="M172" s="296">
        <f t="shared" si="79"/>
        <v>77851.487999999998</v>
      </c>
      <c r="N172" s="297">
        <f t="shared" si="79"/>
        <v>77851.487999999998</v>
      </c>
    </row>
    <row r="173" spans="1:14">
      <c r="A173" s="284"/>
      <c r="B173" s="298"/>
      <c r="C173" s="290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7"/>
    </row>
    <row r="174" spans="1:14">
      <c r="A174" s="284"/>
      <c r="B174" s="298" t="s">
        <v>88</v>
      </c>
      <c r="C174" s="290">
        <f t="shared" ref="C174:D174" si="80">C156*(25/3)%</f>
        <v>171970.17413333335</v>
      </c>
      <c r="D174" s="296">
        <f t="shared" si="80"/>
        <v>171970.17413333335</v>
      </c>
      <c r="E174" s="296">
        <f>E156*(25/3)%</f>
        <v>171970.17413333335</v>
      </c>
      <c r="F174" s="296">
        <f t="shared" ref="F174:N174" si="81">F156*(25/3)%</f>
        <v>171970.17413333335</v>
      </c>
      <c r="G174" s="296">
        <f t="shared" si="81"/>
        <v>171970.17413333335</v>
      </c>
      <c r="H174" s="296">
        <f t="shared" si="81"/>
        <v>171970.17413333335</v>
      </c>
      <c r="I174" s="296">
        <f t="shared" si="81"/>
        <v>171970.17413333335</v>
      </c>
      <c r="J174" s="296">
        <f t="shared" si="81"/>
        <v>171970.17413333335</v>
      </c>
      <c r="K174" s="296">
        <f t="shared" si="81"/>
        <v>171970.17413333335</v>
      </c>
      <c r="L174" s="296">
        <f t="shared" si="81"/>
        <v>171970.17413333335</v>
      </c>
      <c r="M174" s="296">
        <f t="shared" si="81"/>
        <v>171970.17413333335</v>
      </c>
      <c r="N174" s="297">
        <f t="shared" si="81"/>
        <v>171970.17413333335</v>
      </c>
    </row>
    <row r="175" spans="1:14">
      <c r="A175" s="284"/>
      <c r="B175" s="298" t="s">
        <v>89</v>
      </c>
      <c r="C175" s="290">
        <f t="shared" ref="C175:N175" si="82">C156*(25/3)%</f>
        <v>171970.17413333335</v>
      </c>
      <c r="D175" s="296">
        <f t="shared" si="82"/>
        <v>171970.17413333335</v>
      </c>
      <c r="E175" s="296">
        <f t="shared" si="82"/>
        <v>171970.17413333335</v>
      </c>
      <c r="F175" s="296">
        <f t="shared" si="82"/>
        <v>171970.17413333335</v>
      </c>
      <c r="G175" s="296">
        <f t="shared" si="82"/>
        <v>171970.17413333335</v>
      </c>
      <c r="H175" s="296">
        <f t="shared" si="82"/>
        <v>171970.17413333335</v>
      </c>
      <c r="I175" s="296">
        <f t="shared" si="82"/>
        <v>171970.17413333335</v>
      </c>
      <c r="J175" s="296">
        <f t="shared" si="82"/>
        <v>171970.17413333335</v>
      </c>
      <c r="K175" s="296">
        <f t="shared" si="82"/>
        <v>171970.17413333335</v>
      </c>
      <c r="L175" s="296">
        <f t="shared" si="82"/>
        <v>171970.17413333335</v>
      </c>
      <c r="M175" s="296">
        <f t="shared" si="82"/>
        <v>171970.17413333335</v>
      </c>
      <c r="N175" s="297">
        <f t="shared" si="82"/>
        <v>171970.17413333335</v>
      </c>
    </row>
    <row r="176" spans="1:14">
      <c r="A176" s="284"/>
      <c r="B176" s="298" t="s">
        <v>90</v>
      </c>
      <c r="C176" s="290">
        <f t="shared" ref="C176:N176" si="83">C175*12%</f>
        <v>20636.420896</v>
      </c>
      <c r="D176" s="296">
        <f t="shared" si="83"/>
        <v>20636.420896</v>
      </c>
      <c r="E176" s="296">
        <f t="shared" si="83"/>
        <v>20636.420896</v>
      </c>
      <c r="F176" s="296">
        <f t="shared" si="83"/>
        <v>20636.420896</v>
      </c>
      <c r="G176" s="296">
        <f t="shared" si="83"/>
        <v>20636.420896</v>
      </c>
      <c r="H176" s="296">
        <f t="shared" si="83"/>
        <v>20636.420896</v>
      </c>
      <c r="I176" s="296">
        <f t="shared" si="83"/>
        <v>20636.420896</v>
      </c>
      <c r="J176" s="296">
        <f t="shared" si="83"/>
        <v>20636.420896</v>
      </c>
      <c r="K176" s="296">
        <f t="shared" si="83"/>
        <v>20636.420896</v>
      </c>
      <c r="L176" s="296">
        <f t="shared" si="83"/>
        <v>20636.420896</v>
      </c>
      <c r="M176" s="296">
        <f t="shared" si="83"/>
        <v>20636.420896</v>
      </c>
      <c r="N176" s="297">
        <f t="shared" si="83"/>
        <v>20636.420896</v>
      </c>
    </row>
    <row r="177" spans="1:14">
      <c r="A177" s="284"/>
      <c r="B177" s="298" t="s">
        <v>91</v>
      </c>
      <c r="C177" s="290">
        <f t="shared" ref="C177:N177" si="84">C150*(25/6)%</f>
        <v>81095.3</v>
      </c>
      <c r="D177" s="296">
        <f t="shared" si="84"/>
        <v>81095.3</v>
      </c>
      <c r="E177" s="296">
        <f t="shared" si="84"/>
        <v>81095.3</v>
      </c>
      <c r="F177" s="296">
        <f t="shared" si="84"/>
        <v>81095.3</v>
      </c>
      <c r="G177" s="296">
        <f t="shared" si="84"/>
        <v>81095.3</v>
      </c>
      <c r="H177" s="296">
        <f t="shared" si="84"/>
        <v>81095.3</v>
      </c>
      <c r="I177" s="296">
        <f t="shared" si="84"/>
        <v>81095.3</v>
      </c>
      <c r="J177" s="296">
        <f t="shared" si="84"/>
        <v>81095.3</v>
      </c>
      <c r="K177" s="296">
        <f t="shared" si="84"/>
        <v>81095.3</v>
      </c>
      <c r="L177" s="296">
        <f t="shared" si="84"/>
        <v>81095.3</v>
      </c>
      <c r="M177" s="296">
        <f t="shared" si="84"/>
        <v>81095.3</v>
      </c>
      <c r="N177" s="297">
        <f t="shared" si="84"/>
        <v>81095.3</v>
      </c>
    </row>
    <row r="178" spans="1:14">
      <c r="A178" s="284"/>
      <c r="B178" s="285"/>
      <c r="C178" s="290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7"/>
    </row>
    <row r="179" spans="1:14">
      <c r="A179" s="284"/>
      <c r="B179" s="285" t="s">
        <v>92</v>
      </c>
      <c r="C179" s="290">
        <f t="shared" ref="C179:N179" si="85">SUM(C159,C161:C177)</f>
        <v>3093628.5019466667</v>
      </c>
      <c r="D179" s="296">
        <f t="shared" si="85"/>
        <v>3093628.5019466667</v>
      </c>
      <c r="E179" s="296">
        <f t="shared" si="85"/>
        <v>3093628.5019466667</v>
      </c>
      <c r="F179" s="296">
        <f t="shared" si="85"/>
        <v>3093628.5019466667</v>
      </c>
      <c r="G179" s="296">
        <f t="shared" si="85"/>
        <v>3093628.5019466667</v>
      </c>
      <c r="H179" s="296">
        <f t="shared" si="85"/>
        <v>3093628.5019466667</v>
      </c>
      <c r="I179" s="296">
        <f t="shared" si="85"/>
        <v>3093628.5019466667</v>
      </c>
      <c r="J179" s="296">
        <f t="shared" si="85"/>
        <v>3093628.5019466667</v>
      </c>
      <c r="K179" s="296">
        <f t="shared" si="85"/>
        <v>3093628.5019466667</v>
      </c>
      <c r="L179" s="296">
        <f t="shared" si="85"/>
        <v>3093628.5019466667</v>
      </c>
      <c r="M179" s="296">
        <f t="shared" si="85"/>
        <v>3093628.5019466667</v>
      </c>
      <c r="N179" s="297">
        <f t="shared" si="85"/>
        <v>3093628.5019466667</v>
      </c>
    </row>
    <row r="180" spans="1:14">
      <c r="A180" s="284"/>
      <c r="B180" s="285" t="s">
        <v>93</v>
      </c>
      <c r="C180" s="290">
        <f>C179-SUM(C174:C177)</f>
        <v>2647956.4327839999</v>
      </c>
      <c r="D180" s="296">
        <f t="shared" ref="D180:N180" si="86">D179-SUM(D174:D177)</f>
        <v>2647956.4327839999</v>
      </c>
      <c r="E180" s="296">
        <f t="shared" si="86"/>
        <v>2647956.4327839999</v>
      </c>
      <c r="F180" s="296">
        <f t="shared" si="86"/>
        <v>2647956.4327839999</v>
      </c>
      <c r="G180" s="296">
        <f t="shared" si="86"/>
        <v>2647956.4327839999</v>
      </c>
      <c r="H180" s="296">
        <f t="shared" si="86"/>
        <v>2647956.4327839999</v>
      </c>
      <c r="I180" s="296">
        <f t="shared" si="86"/>
        <v>2647956.4327839999</v>
      </c>
      <c r="J180" s="296">
        <f t="shared" si="86"/>
        <v>2647956.4327839999</v>
      </c>
      <c r="K180" s="296">
        <f t="shared" si="86"/>
        <v>2647956.4327839999</v>
      </c>
      <c r="L180" s="296">
        <f t="shared" si="86"/>
        <v>2647956.4327839999</v>
      </c>
      <c r="M180" s="296">
        <f t="shared" si="86"/>
        <v>2647956.4327839999</v>
      </c>
      <c r="N180" s="297">
        <f t="shared" si="86"/>
        <v>2647956.4327839999</v>
      </c>
    </row>
    <row r="181" spans="1:14">
      <c r="A181" s="284"/>
      <c r="B181" s="285" t="s">
        <v>94</v>
      </c>
      <c r="C181" s="300">
        <v>2</v>
      </c>
      <c r="D181" s="300">
        <f>C181</f>
        <v>2</v>
      </c>
      <c r="E181" s="300">
        <f t="shared" ref="E181:N181" si="87">D181</f>
        <v>2</v>
      </c>
      <c r="F181" s="300">
        <f t="shared" si="87"/>
        <v>2</v>
      </c>
      <c r="G181" s="300">
        <f t="shared" si="87"/>
        <v>2</v>
      </c>
      <c r="H181" s="300">
        <f t="shared" si="87"/>
        <v>2</v>
      </c>
      <c r="I181" s="300">
        <f t="shared" si="87"/>
        <v>2</v>
      </c>
      <c r="J181" s="300">
        <f t="shared" si="87"/>
        <v>2</v>
      </c>
      <c r="K181" s="300">
        <f t="shared" si="87"/>
        <v>2</v>
      </c>
      <c r="L181" s="300">
        <f t="shared" si="87"/>
        <v>2</v>
      </c>
      <c r="M181" s="300">
        <f t="shared" si="87"/>
        <v>2</v>
      </c>
      <c r="N181" s="301">
        <f t="shared" si="87"/>
        <v>2</v>
      </c>
    </row>
    <row r="182" spans="1:14">
      <c r="A182" s="284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7"/>
    </row>
    <row r="183" spans="1:14">
      <c r="A183" s="284"/>
      <c r="B183" s="285"/>
      <c r="C183" s="286">
        <f>(C179*100%/C157)-1</f>
        <v>0.58950256773340892</v>
      </c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7"/>
    </row>
    <row r="184" spans="1:14">
      <c r="A184" s="284"/>
      <c r="B184" s="285"/>
      <c r="C184" s="293" t="s">
        <v>55</v>
      </c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7"/>
    </row>
    <row r="185" spans="1:14">
      <c r="A185" s="284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7"/>
    </row>
    <row r="186" spans="1:14">
      <c r="A186" s="284"/>
      <c r="B186" s="285"/>
      <c r="C186" s="285" t="s">
        <v>93</v>
      </c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7"/>
    </row>
    <row r="187" spans="1:14">
      <c r="A187" s="284"/>
      <c r="B187" s="285"/>
      <c r="C187" s="285" t="s">
        <v>95</v>
      </c>
      <c r="D187" s="285">
        <v>1</v>
      </c>
      <c r="E187" s="285">
        <v>2</v>
      </c>
      <c r="F187" s="285">
        <v>3</v>
      </c>
      <c r="G187" s="285">
        <v>4</v>
      </c>
      <c r="H187" s="285"/>
      <c r="I187" s="285"/>
      <c r="J187" s="285"/>
      <c r="K187" s="285"/>
      <c r="L187" s="285"/>
      <c r="M187" s="285"/>
      <c r="N187" s="287"/>
    </row>
    <row r="188" spans="1:14">
      <c r="A188" s="284"/>
      <c r="B188" s="285"/>
      <c r="C188" s="285"/>
      <c r="D188" s="296">
        <f>SUM(C180:E180)</f>
        <v>7943869.2983519994</v>
      </c>
      <c r="E188" s="296">
        <f>SUM(F180:H180,C174:H174)</f>
        <v>8975690.3431519959</v>
      </c>
      <c r="F188" s="296">
        <f>SUM(I180:K180)</f>
        <v>7943869.2983519994</v>
      </c>
      <c r="G188" s="296">
        <f>SUM(L180:N180,C177:N177,C176:N176,C175:N175,I174:N174)</f>
        <v>12260113.083503978</v>
      </c>
      <c r="H188" s="285"/>
      <c r="I188" s="285"/>
      <c r="J188" s="285"/>
      <c r="K188" s="285"/>
      <c r="L188" s="285"/>
      <c r="M188" s="285"/>
      <c r="N188" s="287"/>
    </row>
    <row r="189" spans="1:14">
      <c r="A189" s="284"/>
      <c r="B189" s="285"/>
      <c r="C189" s="285"/>
      <c r="D189" s="302">
        <f>D188*$C$37</f>
        <v>15887738.596703999</v>
      </c>
      <c r="E189" s="302">
        <f t="shared" ref="E189:G189" si="88">E188*$C$37</f>
        <v>17951380.686303992</v>
      </c>
      <c r="F189" s="302">
        <f t="shared" si="88"/>
        <v>15887738.596703999</v>
      </c>
      <c r="G189" s="302">
        <f t="shared" si="88"/>
        <v>24520226.167007957</v>
      </c>
      <c r="H189" s="285"/>
      <c r="I189" s="285"/>
      <c r="J189" s="285"/>
      <c r="K189" s="285"/>
      <c r="L189" s="285"/>
      <c r="M189" s="285"/>
      <c r="N189" s="287"/>
    </row>
    <row r="190" spans="1:14">
      <c r="A190" s="284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7"/>
    </row>
    <row r="191" spans="1:14">
      <c r="A191" s="284"/>
      <c r="B191" s="285" t="s">
        <v>96</v>
      </c>
      <c r="C191" s="303">
        <f>SUM(C159,C161:C162,C164:C165,C167,C170:C172,C128:N128)</f>
        <v>2886068.9815840009</v>
      </c>
      <c r="D191" s="303">
        <f>SUM(D159,D161:D162,D164:D165,D167,D170:D172,C127:N127,)</f>
        <v>4632227.6727839988</v>
      </c>
      <c r="E191" s="303">
        <f>SUM(E159,E161:E162,E164:E165,E167,E170:E172)</f>
        <v>2647956.4327839999</v>
      </c>
      <c r="F191" s="303">
        <f>SUM(F159,F161:F162,F164:F165,F167,F170:F172)</f>
        <v>2647956.4327839999</v>
      </c>
      <c r="G191" s="303">
        <f>SUM(G159,G161:G162,G164:G165,G167,G170:G172)</f>
        <v>2647956.4327839999</v>
      </c>
      <c r="H191" s="303">
        <f>SUM(H159,H161:H162,H164:H165,H167,H170:H172,C174:H174)</f>
        <v>3679777.4775840002</v>
      </c>
      <c r="I191" s="303">
        <f>SUM(I159,I161:I162,I164:I165,I167,I170:I172)</f>
        <v>2647956.4327839999</v>
      </c>
      <c r="J191" s="303">
        <f t="shared" ref="J191:M191" si="89">SUM(J159,J161:J162,J164:J165,J167,J170:J172)</f>
        <v>2647956.4327839999</v>
      </c>
      <c r="K191" s="303">
        <f t="shared" si="89"/>
        <v>2647956.4327839999</v>
      </c>
      <c r="L191" s="303">
        <f t="shared" si="89"/>
        <v>2647956.4327839999</v>
      </c>
      <c r="M191" s="303">
        <f t="shared" si="89"/>
        <v>2647956.4327839999</v>
      </c>
      <c r="N191" s="304">
        <f>SUM(N159,N161:N162,N164:N165,N167,N170:N172,I174:N174,C177:N177,C175:N175,C176:N176)</f>
        <v>6964200.2179360017</v>
      </c>
    </row>
    <row r="192" spans="1:14" ht="15.75" thickBot="1">
      <c r="A192" s="305"/>
      <c r="B192" s="306" t="s">
        <v>97</v>
      </c>
      <c r="C192" s="307">
        <f>SUM(C191:N191)</f>
        <v>39345925.81216</v>
      </c>
      <c r="D192" s="308">
        <f>C192*4</f>
        <v>157383703.24864</v>
      </c>
      <c r="E192" s="306"/>
      <c r="F192" s="306"/>
      <c r="G192" s="306"/>
      <c r="H192" s="306"/>
      <c r="I192" s="306"/>
      <c r="J192" s="306"/>
      <c r="K192" s="306"/>
      <c r="L192" s="306"/>
      <c r="M192" s="306"/>
      <c r="N192" s="309"/>
    </row>
    <row r="194" spans="2:5">
      <c r="B194" t="s">
        <v>168</v>
      </c>
      <c r="C194">
        <v>2021</v>
      </c>
      <c r="D194">
        <v>2022</v>
      </c>
      <c r="E194">
        <v>2023</v>
      </c>
    </row>
    <row r="195" spans="2:5">
      <c r="B195" t="s">
        <v>169</v>
      </c>
      <c r="C195" s="150">
        <f>C96</f>
        <v>31578612.920000002</v>
      </c>
      <c r="D195" s="150">
        <f>C144</f>
        <v>35569918.1752</v>
      </c>
      <c r="E195" s="150">
        <f>C192</f>
        <v>39345925.81216</v>
      </c>
    </row>
    <row r="196" spans="2:5">
      <c r="B196" t="s">
        <v>170</v>
      </c>
      <c r="C196">
        <v>4</v>
      </c>
      <c r="D196">
        <f>C196</f>
        <v>4</v>
      </c>
      <c r="E196">
        <f>D196</f>
        <v>4</v>
      </c>
    </row>
    <row r="197" spans="2:5">
      <c r="B197" s="107" t="s">
        <v>171</v>
      </c>
      <c r="C197" s="151">
        <f>C195*C196</f>
        <v>126314451.68000001</v>
      </c>
      <c r="D197" s="151">
        <f t="shared" ref="D197:E197" si="90">D195*D196</f>
        <v>142279672.7008</v>
      </c>
      <c r="E197" s="151">
        <f t="shared" si="90"/>
        <v>157383703.24864</v>
      </c>
    </row>
  </sheetData>
  <mergeCells count="16">
    <mergeCell ref="A108:A109"/>
    <mergeCell ref="A12:A13"/>
    <mergeCell ref="A17:A18"/>
    <mergeCell ref="A20:A21"/>
    <mergeCell ref="A26:A28"/>
    <mergeCell ref="A60:A61"/>
    <mergeCell ref="A65:A66"/>
    <mergeCell ref="A68:A69"/>
    <mergeCell ref="A74:A76"/>
    <mergeCell ref="A164:A165"/>
    <mergeCell ref="A170:A172"/>
    <mergeCell ref="A113:A114"/>
    <mergeCell ref="A116:A117"/>
    <mergeCell ref="A122:A124"/>
    <mergeCell ref="A156:A157"/>
    <mergeCell ref="A161:A1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7"/>
  <sheetViews>
    <sheetView zoomScale="60" zoomScaleNormal="60" workbookViewId="0">
      <selection activeCell="P157" sqref="P157"/>
    </sheetView>
  </sheetViews>
  <sheetFormatPr baseColWidth="10" defaultRowHeight="15"/>
  <cols>
    <col min="2" max="2" width="23.140625" customWidth="1"/>
    <col min="3" max="3" width="17.28515625" customWidth="1"/>
    <col min="4" max="4" width="16.85546875" customWidth="1"/>
    <col min="5" max="5" width="17" customWidth="1"/>
    <col min="6" max="6" width="16.28515625" customWidth="1"/>
    <col min="7" max="7" width="19.42578125" customWidth="1"/>
    <col min="8" max="8" width="16.7109375" customWidth="1"/>
    <col min="9" max="13" width="16.5703125" bestFit="1" customWidth="1"/>
    <col min="14" max="14" width="17" bestFit="1" customWidth="1"/>
  </cols>
  <sheetData>
    <row r="1" spans="1:14">
      <c r="A1" s="195" t="s">
        <v>187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>
      <c r="A2" s="198"/>
      <c r="B2" s="199" t="s">
        <v>68</v>
      </c>
      <c r="C2" s="199">
        <v>1</v>
      </c>
      <c r="D2" s="200">
        <f>0.00522</f>
        <v>5.2199999999999998E-3</v>
      </c>
      <c r="E2" s="199"/>
      <c r="F2" s="199"/>
      <c r="G2" s="199"/>
      <c r="H2" s="199"/>
      <c r="I2" s="199"/>
      <c r="J2" s="199"/>
      <c r="K2" s="199"/>
      <c r="L2" s="199"/>
      <c r="M2" s="199"/>
      <c r="N2" s="201"/>
    </row>
    <row r="3" spans="1:14">
      <c r="A3" s="198"/>
      <c r="B3" s="199"/>
      <c r="C3" s="199">
        <v>2</v>
      </c>
      <c r="D3" s="200">
        <f>1.044%</f>
        <v>1.044E-2</v>
      </c>
      <c r="E3" s="199"/>
      <c r="F3" s="199"/>
      <c r="G3" s="199"/>
      <c r="H3" s="199"/>
      <c r="I3" s="199"/>
      <c r="J3" s="199"/>
      <c r="K3" s="199"/>
      <c r="L3" s="199"/>
      <c r="M3" s="199"/>
      <c r="N3" s="201"/>
    </row>
    <row r="4" spans="1:14">
      <c r="A4" s="198"/>
      <c r="B4" s="199"/>
      <c r="C4" s="199">
        <v>3</v>
      </c>
      <c r="D4" s="202">
        <v>2.436E-2</v>
      </c>
      <c r="E4" s="199"/>
      <c r="F4" s="199"/>
      <c r="G4" s="199"/>
      <c r="H4" s="199"/>
      <c r="I4" s="199"/>
      <c r="J4" s="199"/>
      <c r="K4" s="199"/>
      <c r="L4" s="199"/>
      <c r="M4" s="199"/>
      <c r="N4" s="201"/>
    </row>
    <row r="5" spans="1:14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1"/>
    </row>
    <row r="6" spans="1:14">
      <c r="A6" s="198"/>
      <c r="B6" s="199" t="s">
        <v>69</v>
      </c>
      <c r="C6" s="203">
        <v>1050000</v>
      </c>
      <c r="D6" s="203">
        <f>C6</f>
        <v>1050000</v>
      </c>
      <c r="E6" s="203">
        <f t="shared" ref="E6:N6" si="0">D6</f>
        <v>1050000</v>
      </c>
      <c r="F6" s="203">
        <f t="shared" si="0"/>
        <v>1050000</v>
      </c>
      <c r="G6" s="203">
        <f t="shared" si="0"/>
        <v>1050000</v>
      </c>
      <c r="H6" s="203">
        <f t="shared" si="0"/>
        <v>1050000</v>
      </c>
      <c r="I6" s="203">
        <f t="shared" si="0"/>
        <v>1050000</v>
      </c>
      <c r="J6" s="203">
        <f t="shared" si="0"/>
        <v>1050000</v>
      </c>
      <c r="K6" s="203">
        <f t="shared" si="0"/>
        <v>1050000</v>
      </c>
      <c r="L6" s="203">
        <f t="shared" si="0"/>
        <v>1050000</v>
      </c>
      <c r="M6" s="203">
        <f t="shared" si="0"/>
        <v>1050000</v>
      </c>
      <c r="N6" s="204">
        <f t="shared" si="0"/>
        <v>1050000</v>
      </c>
    </row>
    <row r="7" spans="1:14">
      <c r="A7" s="198"/>
      <c r="B7" s="199" t="s">
        <v>70</v>
      </c>
      <c r="C7" s="203">
        <f>IF(C6&lt;2*878000,102854,0)</f>
        <v>102854</v>
      </c>
      <c r="D7" s="203">
        <f t="shared" ref="D7:N7" si="1">IF(D6&lt;2*878000,102854,0)</f>
        <v>102854</v>
      </c>
      <c r="E7" s="203">
        <f t="shared" si="1"/>
        <v>102854</v>
      </c>
      <c r="F7" s="203">
        <f t="shared" si="1"/>
        <v>102854</v>
      </c>
      <c r="G7" s="203">
        <f t="shared" si="1"/>
        <v>102854</v>
      </c>
      <c r="H7" s="203">
        <f t="shared" si="1"/>
        <v>102854</v>
      </c>
      <c r="I7" s="203">
        <f t="shared" si="1"/>
        <v>102854</v>
      </c>
      <c r="J7" s="203">
        <f t="shared" si="1"/>
        <v>102854</v>
      </c>
      <c r="K7" s="203">
        <f t="shared" si="1"/>
        <v>102854</v>
      </c>
      <c r="L7" s="203">
        <f t="shared" si="1"/>
        <v>102854</v>
      </c>
      <c r="M7" s="203">
        <f t="shared" si="1"/>
        <v>102854</v>
      </c>
      <c r="N7" s="204">
        <f t="shared" si="1"/>
        <v>102854</v>
      </c>
    </row>
    <row r="8" spans="1:14">
      <c r="A8" s="205"/>
      <c r="B8" s="199" t="s">
        <v>71</v>
      </c>
      <c r="C8" s="206"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7">
        <v>0</v>
      </c>
    </row>
    <row r="9" spans="1:14">
      <c r="A9" s="198"/>
      <c r="B9" s="199" t="s">
        <v>72</v>
      </c>
      <c r="C9" s="208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7"/>
    </row>
    <row r="10" spans="1:14">
      <c r="A10" s="198"/>
      <c r="B10" s="199" t="s">
        <v>73</v>
      </c>
      <c r="C10" s="208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7"/>
    </row>
    <row r="11" spans="1:14">
      <c r="A11" s="198"/>
      <c r="B11" s="199"/>
      <c r="C11" s="208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7"/>
    </row>
    <row r="12" spans="1:14">
      <c r="A12" s="407" t="s">
        <v>74</v>
      </c>
      <c r="B12" s="199" t="s">
        <v>75</v>
      </c>
      <c r="C12" s="203">
        <f t="shared" ref="C12:N12" si="2">SUM(C6:C10)</f>
        <v>1152854</v>
      </c>
      <c r="D12" s="206">
        <f t="shared" si="2"/>
        <v>1152854</v>
      </c>
      <c r="E12" s="206">
        <f t="shared" si="2"/>
        <v>1152854</v>
      </c>
      <c r="F12" s="206">
        <f>SUM(F6:F10)</f>
        <v>1152854</v>
      </c>
      <c r="G12" s="206">
        <f t="shared" si="2"/>
        <v>1152854</v>
      </c>
      <c r="H12" s="206">
        <f t="shared" si="2"/>
        <v>1152854</v>
      </c>
      <c r="I12" s="206">
        <f t="shared" si="2"/>
        <v>1152854</v>
      </c>
      <c r="J12" s="206">
        <f t="shared" si="2"/>
        <v>1152854</v>
      </c>
      <c r="K12" s="206">
        <f t="shared" si="2"/>
        <v>1152854</v>
      </c>
      <c r="L12" s="206">
        <f t="shared" si="2"/>
        <v>1152854</v>
      </c>
      <c r="M12" s="206">
        <f t="shared" si="2"/>
        <v>1152854</v>
      </c>
      <c r="N12" s="207">
        <f t="shared" si="2"/>
        <v>1152854</v>
      </c>
    </row>
    <row r="13" spans="1:14">
      <c r="A13" s="407"/>
      <c r="B13" s="199" t="s">
        <v>76</v>
      </c>
      <c r="C13" s="203">
        <f t="shared" ref="C13:N13" si="3">C12-C7</f>
        <v>1050000</v>
      </c>
      <c r="D13" s="209">
        <f t="shared" si="3"/>
        <v>1050000</v>
      </c>
      <c r="E13" s="209">
        <f t="shared" si="3"/>
        <v>1050000</v>
      </c>
      <c r="F13" s="209">
        <f t="shared" si="3"/>
        <v>1050000</v>
      </c>
      <c r="G13" s="209">
        <f t="shared" si="3"/>
        <v>1050000</v>
      </c>
      <c r="H13" s="209">
        <f t="shared" si="3"/>
        <v>1050000</v>
      </c>
      <c r="I13" s="209">
        <f t="shared" si="3"/>
        <v>1050000</v>
      </c>
      <c r="J13" s="209">
        <f t="shared" si="3"/>
        <v>1050000</v>
      </c>
      <c r="K13" s="209">
        <f t="shared" si="3"/>
        <v>1050000</v>
      </c>
      <c r="L13" s="209">
        <f t="shared" si="3"/>
        <v>1050000</v>
      </c>
      <c r="M13" s="209">
        <f t="shared" si="3"/>
        <v>1050000</v>
      </c>
      <c r="N13" s="210">
        <f t="shared" si="3"/>
        <v>1050000</v>
      </c>
    </row>
    <row r="14" spans="1:14">
      <c r="A14" s="198"/>
      <c r="B14" s="199"/>
      <c r="C14" s="203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01"/>
    </row>
    <row r="15" spans="1:14">
      <c r="A15" s="198"/>
      <c r="B15" s="199" t="s">
        <v>77</v>
      </c>
      <c r="C15" s="203">
        <f t="shared" ref="C15:N15" si="4">C12-C17-C20</f>
        <v>1068854</v>
      </c>
      <c r="D15" s="209">
        <f t="shared" si="4"/>
        <v>1068854</v>
      </c>
      <c r="E15" s="209">
        <f t="shared" si="4"/>
        <v>1068854</v>
      </c>
      <c r="F15" s="209">
        <f t="shared" si="4"/>
        <v>1068854</v>
      </c>
      <c r="G15" s="209">
        <f t="shared" si="4"/>
        <v>1068854</v>
      </c>
      <c r="H15" s="209">
        <f t="shared" si="4"/>
        <v>1068854</v>
      </c>
      <c r="I15" s="209">
        <f t="shared" si="4"/>
        <v>1068854</v>
      </c>
      <c r="J15" s="209">
        <f t="shared" si="4"/>
        <v>1068854</v>
      </c>
      <c r="K15" s="209">
        <f t="shared" si="4"/>
        <v>1068854</v>
      </c>
      <c r="L15" s="209">
        <f t="shared" si="4"/>
        <v>1068854</v>
      </c>
      <c r="M15" s="209">
        <f t="shared" si="4"/>
        <v>1068854</v>
      </c>
      <c r="N15" s="210">
        <f t="shared" si="4"/>
        <v>1068854</v>
      </c>
    </row>
    <row r="16" spans="1:14">
      <c r="A16" s="198"/>
      <c r="B16" s="199"/>
      <c r="C16" s="203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201"/>
    </row>
    <row r="17" spans="1:14">
      <c r="A17" s="408" t="s">
        <v>78</v>
      </c>
      <c r="B17" s="211" t="s">
        <v>79</v>
      </c>
      <c r="C17" s="203">
        <f t="shared" ref="C17:N17" si="5">C13*4%</f>
        <v>42000</v>
      </c>
      <c r="D17" s="209">
        <f t="shared" si="5"/>
        <v>42000</v>
      </c>
      <c r="E17" s="209">
        <f t="shared" si="5"/>
        <v>42000</v>
      </c>
      <c r="F17" s="209">
        <f t="shared" si="5"/>
        <v>42000</v>
      </c>
      <c r="G17" s="209">
        <f t="shared" si="5"/>
        <v>42000</v>
      </c>
      <c r="H17" s="209">
        <f t="shared" si="5"/>
        <v>42000</v>
      </c>
      <c r="I17" s="209">
        <f t="shared" si="5"/>
        <v>42000</v>
      </c>
      <c r="J17" s="209">
        <f t="shared" si="5"/>
        <v>42000</v>
      </c>
      <c r="K17" s="209">
        <f t="shared" si="5"/>
        <v>42000</v>
      </c>
      <c r="L17" s="209">
        <f t="shared" si="5"/>
        <v>42000</v>
      </c>
      <c r="M17" s="209">
        <f t="shared" si="5"/>
        <v>42000</v>
      </c>
      <c r="N17" s="210">
        <f t="shared" si="5"/>
        <v>42000</v>
      </c>
    </row>
    <row r="18" spans="1:14">
      <c r="A18" s="408"/>
      <c r="B18" s="211" t="s">
        <v>80</v>
      </c>
      <c r="C18" s="203">
        <f t="shared" ref="C18:N18" si="6">C13*8.5%</f>
        <v>89250</v>
      </c>
      <c r="D18" s="209">
        <f t="shared" si="6"/>
        <v>89250</v>
      </c>
      <c r="E18" s="209">
        <f t="shared" si="6"/>
        <v>89250</v>
      </c>
      <c r="F18" s="209">
        <f t="shared" si="6"/>
        <v>89250</v>
      </c>
      <c r="G18" s="209">
        <f t="shared" si="6"/>
        <v>89250</v>
      </c>
      <c r="H18" s="209">
        <f t="shared" si="6"/>
        <v>89250</v>
      </c>
      <c r="I18" s="209">
        <f t="shared" si="6"/>
        <v>89250</v>
      </c>
      <c r="J18" s="209">
        <f t="shared" si="6"/>
        <v>89250</v>
      </c>
      <c r="K18" s="209">
        <f t="shared" si="6"/>
        <v>89250</v>
      </c>
      <c r="L18" s="209">
        <f t="shared" si="6"/>
        <v>89250</v>
      </c>
      <c r="M18" s="209">
        <f t="shared" si="6"/>
        <v>89250</v>
      </c>
      <c r="N18" s="210">
        <f t="shared" si="6"/>
        <v>89250</v>
      </c>
    </row>
    <row r="19" spans="1:14">
      <c r="A19" s="198"/>
      <c r="B19" s="211"/>
      <c r="C19" s="203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01"/>
    </row>
    <row r="20" spans="1:14">
      <c r="A20" s="408" t="s">
        <v>81</v>
      </c>
      <c r="B20" s="211" t="s">
        <v>82</v>
      </c>
      <c r="C20" s="203">
        <f t="shared" ref="C20:N20" si="7">C13*4%</f>
        <v>42000</v>
      </c>
      <c r="D20" s="209">
        <f t="shared" si="7"/>
        <v>42000</v>
      </c>
      <c r="E20" s="209">
        <f t="shared" si="7"/>
        <v>42000</v>
      </c>
      <c r="F20" s="209">
        <f t="shared" si="7"/>
        <v>42000</v>
      </c>
      <c r="G20" s="209">
        <f t="shared" si="7"/>
        <v>42000</v>
      </c>
      <c r="H20" s="209">
        <f t="shared" si="7"/>
        <v>42000</v>
      </c>
      <c r="I20" s="209">
        <f t="shared" si="7"/>
        <v>42000</v>
      </c>
      <c r="J20" s="209">
        <f t="shared" si="7"/>
        <v>42000</v>
      </c>
      <c r="K20" s="209">
        <f t="shared" si="7"/>
        <v>42000</v>
      </c>
      <c r="L20" s="209">
        <f t="shared" si="7"/>
        <v>42000</v>
      </c>
      <c r="M20" s="209">
        <f t="shared" si="7"/>
        <v>42000</v>
      </c>
      <c r="N20" s="210">
        <f t="shared" si="7"/>
        <v>42000</v>
      </c>
    </row>
    <row r="21" spans="1:14">
      <c r="A21" s="408"/>
      <c r="B21" s="211" t="s">
        <v>80</v>
      </c>
      <c r="C21" s="203">
        <f t="shared" ref="C21:N21" si="8">C13*12%</f>
        <v>126000</v>
      </c>
      <c r="D21" s="209">
        <f t="shared" si="8"/>
        <v>126000</v>
      </c>
      <c r="E21" s="209">
        <f t="shared" si="8"/>
        <v>126000</v>
      </c>
      <c r="F21" s="209">
        <f t="shared" si="8"/>
        <v>126000</v>
      </c>
      <c r="G21" s="209">
        <f t="shared" si="8"/>
        <v>126000</v>
      </c>
      <c r="H21" s="209">
        <f t="shared" si="8"/>
        <v>126000</v>
      </c>
      <c r="I21" s="209">
        <f t="shared" si="8"/>
        <v>126000</v>
      </c>
      <c r="J21" s="209">
        <f t="shared" si="8"/>
        <v>126000</v>
      </c>
      <c r="K21" s="209">
        <f t="shared" si="8"/>
        <v>126000</v>
      </c>
      <c r="L21" s="209">
        <f t="shared" si="8"/>
        <v>126000</v>
      </c>
      <c r="M21" s="209">
        <f t="shared" si="8"/>
        <v>126000</v>
      </c>
      <c r="N21" s="210">
        <f t="shared" si="8"/>
        <v>126000</v>
      </c>
    </row>
    <row r="22" spans="1:14">
      <c r="A22" s="198"/>
      <c r="B22" s="211"/>
      <c r="C22" s="203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1"/>
    </row>
    <row r="23" spans="1:14">
      <c r="A23" s="198" t="s">
        <v>83</v>
      </c>
      <c r="B23" s="212">
        <v>1</v>
      </c>
      <c r="C23" s="203">
        <f>IF(B23=C2,D2*C13,IF(B23=C3,D3*C13,IF(B23=C4,D4*C13,0)))</f>
        <v>5481</v>
      </c>
      <c r="D23" s="209">
        <f>IF(B23=C2,D2*C13,IF(B23=C3,D3*C13,IF(B23=C4,D4*C13,0)))</f>
        <v>5481</v>
      </c>
      <c r="E23" s="209">
        <f>IF(B23=C2,D2*C13,IF(B23=C3,D3*C13,IF(B23=C4,D4*C13,0)))</f>
        <v>5481</v>
      </c>
      <c r="F23" s="209">
        <f>IF(B23=C2,D2*C13,IF(B23=C3,D3*C13,IF(B23=C4,D4*C13,0)))</f>
        <v>5481</v>
      </c>
      <c r="G23" s="209">
        <f>IF(B23=C2,D2*C13,IF(B23=C3,D3*C13,IF(B23=C4,D4*C13,0)))</f>
        <v>5481</v>
      </c>
      <c r="H23" s="209">
        <f>IF(B23=C2,D2*C13,IF(B23=C3,D3*C13,IF(B23=C4,D4*C13,0)))</f>
        <v>5481</v>
      </c>
      <c r="I23" s="209">
        <f>IF(B23=C2,D2*C13,IF(B23=C3,D3*C13,IF(B23=C4,D4*C13,0)))</f>
        <v>5481</v>
      </c>
      <c r="J23" s="209">
        <f>IF(B23=C2,D2*C13,IF(B23=C3,D3*C13,IF(B23=C4,D4*C13,0)))</f>
        <v>5481</v>
      </c>
      <c r="K23" s="209">
        <f>IF(B23=C2,D2*C13,IF(B23=C3,D3*C13,IF(B23=C4,D4*C13,0)))</f>
        <v>5481</v>
      </c>
      <c r="L23" s="209">
        <f>IF(B23=C2,D2*C13,IF(B23=C3,D3*C13,IF(B23=C4,D4*C13,0)))</f>
        <v>5481</v>
      </c>
      <c r="M23" s="209">
        <f>IF(B23=C2,D2*C13,IF(B23=C3,D3*C13,IF(B23=C4,D4*C13,0)))</f>
        <v>5481</v>
      </c>
      <c r="N23" s="210">
        <f>IF(B23=C2,D2*C13,IF(B23=C3,D3*C13,IF(B23=C4,D4*C13,0)))</f>
        <v>5481</v>
      </c>
    </row>
    <row r="24" spans="1:14">
      <c r="A24" s="198"/>
      <c r="B24" s="211"/>
      <c r="C24" s="203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201"/>
    </row>
    <row r="25" spans="1:14">
      <c r="A25" s="198"/>
      <c r="B25" s="211"/>
      <c r="C25" s="203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201"/>
    </row>
    <row r="26" spans="1:14">
      <c r="A26" s="408" t="s">
        <v>84</v>
      </c>
      <c r="B26" s="211" t="s">
        <v>85</v>
      </c>
      <c r="C26" s="203">
        <f t="shared" ref="C26:N26" si="9">2%*C13</f>
        <v>21000</v>
      </c>
      <c r="D26" s="209">
        <f t="shared" si="9"/>
        <v>21000</v>
      </c>
      <c r="E26" s="209">
        <f t="shared" si="9"/>
        <v>21000</v>
      </c>
      <c r="F26" s="209">
        <f t="shared" si="9"/>
        <v>21000</v>
      </c>
      <c r="G26" s="209">
        <f t="shared" si="9"/>
        <v>21000</v>
      </c>
      <c r="H26" s="209">
        <f t="shared" si="9"/>
        <v>21000</v>
      </c>
      <c r="I26" s="209">
        <f t="shared" si="9"/>
        <v>21000</v>
      </c>
      <c r="J26" s="209">
        <f t="shared" si="9"/>
        <v>21000</v>
      </c>
      <c r="K26" s="209">
        <f t="shared" si="9"/>
        <v>21000</v>
      </c>
      <c r="L26" s="209">
        <f t="shared" si="9"/>
        <v>21000</v>
      </c>
      <c r="M26" s="209">
        <f t="shared" si="9"/>
        <v>21000</v>
      </c>
      <c r="N26" s="210">
        <f t="shared" si="9"/>
        <v>21000</v>
      </c>
    </row>
    <row r="27" spans="1:14">
      <c r="A27" s="408"/>
      <c r="B27" s="211" t="s">
        <v>86</v>
      </c>
      <c r="C27" s="203">
        <f t="shared" ref="C27:N27" si="10">C13*3%</f>
        <v>31500</v>
      </c>
      <c r="D27" s="209">
        <f t="shared" si="10"/>
        <v>31500</v>
      </c>
      <c r="E27" s="209">
        <f t="shared" si="10"/>
        <v>31500</v>
      </c>
      <c r="F27" s="209">
        <f t="shared" si="10"/>
        <v>31500</v>
      </c>
      <c r="G27" s="209">
        <f t="shared" si="10"/>
        <v>31500</v>
      </c>
      <c r="H27" s="209">
        <f t="shared" si="10"/>
        <v>31500</v>
      </c>
      <c r="I27" s="209">
        <f t="shared" si="10"/>
        <v>31500</v>
      </c>
      <c r="J27" s="209">
        <f t="shared" si="10"/>
        <v>31500</v>
      </c>
      <c r="K27" s="209">
        <f t="shared" si="10"/>
        <v>31500</v>
      </c>
      <c r="L27" s="209">
        <f t="shared" si="10"/>
        <v>31500</v>
      </c>
      <c r="M27" s="209">
        <f t="shared" si="10"/>
        <v>31500</v>
      </c>
      <c r="N27" s="210">
        <f t="shared" si="10"/>
        <v>31500</v>
      </c>
    </row>
    <row r="28" spans="1:14">
      <c r="A28" s="408"/>
      <c r="B28" s="211" t="s">
        <v>87</v>
      </c>
      <c r="C28" s="203">
        <f t="shared" ref="C28:N28" si="11">C13*4%</f>
        <v>42000</v>
      </c>
      <c r="D28" s="209">
        <f t="shared" si="11"/>
        <v>42000</v>
      </c>
      <c r="E28" s="209">
        <f t="shared" si="11"/>
        <v>42000</v>
      </c>
      <c r="F28" s="209">
        <f t="shared" si="11"/>
        <v>42000</v>
      </c>
      <c r="G28" s="209">
        <f t="shared" si="11"/>
        <v>42000</v>
      </c>
      <c r="H28" s="209">
        <f t="shared" si="11"/>
        <v>42000</v>
      </c>
      <c r="I28" s="209">
        <f t="shared" si="11"/>
        <v>42000</v>
      </c>
      <c r="J28" s="209">
        <f t="shared" si="11"/>
        <v>42000</v>
      </c>
      <c r="K28" s="209">
        <f t="shared" si="11"/>
        <v>42000</v>
      </c>
      <c r="L28" s="209">
        <f t="shared" si="11"/>
        <v>42000</v>
      </c>
      <c r="M28" s="209">
        <f t="shared" si="11"/>
        <v>42000</v>
      </c>
      <c r="N28" s="210">
        <f t="shared" si="11"/>
        <v>42000</v>
      </c>
    </row>
    <row r="29" spans="1:14">
      <c r="A29" s="198"/>
      <c r="B29" s="211"/>
      <c r="C29" s="203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01"/>
    </row>
    <row r="30" spans="1:14">
      <c r="A30" s="198"/>
      <c r="B30" s="211" t="s">
        <v>88</v>
      </c>
      <c r="C30" s="203">
        <f t="shared" ref="C30:N30" si="12">C12*(25/3)%</f>
        <v>96071.166666666672</v>
      </c>
      <c r="D30" s="209">
        <f t="shared" si="12"/>
        <v>96071.166666666672</v>
      </c>
      <c r="E30" s="209">
        <f>E12*(25/3)%</f>
        <v>96071.166666666672</v>
      </c>
      <c r="F30" s="209">
        <f t="shared" si="12"/>
        <v>96071.166666666672</v>
      </c>
      <c r="G30" s="209">
        <f t="shared" si="12"/>
        <v>96071.166666666672</v>
      </c>
      <c r="H30" s="209">
        <f t="shared" si="12"/>
        <v>96071.166666666672</v>
      </c>
      <c r="I30" s="209">
        <f t="shared" si="12"/>
        <v>96071.166666666672</v>
      </c>
      <c r="J30" s="209">
        <f t="shared" si="12"/>
        <v>96071.166666666672</v>
      </c>
      <c r="K30" s="209">
        <f t="shared" si="12"/>
        <v>96071.166666666672</v>
      </c>
      <c r="L30" s="209">
        <f t="shared" si="12"/>
        <v>96071.166666666672</v>
      </c>
      <c r="M30" s="209">
        <f t="shared" si="12"/>
        <v>96071.166666666672</v>
      </c>
      <c r="N30" s="210">
        <f t="shared" si="12"/>
        <v>96071.166666666672</v>
      </c>
    </row>
    <row r="31" spans="1:14">
      <c r="A31" s="198"/>
      <c r="B31" s="211" t="s">
        <v>89</v>
      </c>
      <c r="C31" s="203">
        <f t="shared" ref="C31:N31" si="13">C12*(25/3)%</f>
        <v>96071.166666666672</v>
      </c>
      <c r="D31" s="209">
        <f t="shared" si="13"/>
        <v>96071.166666666672</v>
      </c>
      <c r="E31" s="209">
        <f t="shared" si="13"/>
        <v>96071.166666666672</v>
      </c>
      <c r="F31" s="209">
        <f t="shared" si="13"/>
        <v>96071.166666666672</v>
      </c>
      <c r="G31" s="209">
        <f t="shared" si="13"/>
        <v>96071.166666666672</v>
      </c>
      <c r="H31" s="209">
        <f t="shared" si="13"/>
        <v>96071.166666666672</v>
      </c>
      <c r="I31" s="209">
        <f t="shared" si="13"/>
        <v>96071.166666666672</v>
      </c>
      <c r="J31" s="209">
        <f t="shared" si="13"/>
        <v>96071.166666666672</v>
      </c>
      <c r="K31" s="209">
        <f t="shared" si="13"/>
        <v>96071.166666666672</v>
      </c>
      <c r="L31" s="209">
        <f t="shared" si="13"/>
        <v>96071.166666666672</v>
      </c>
      <c r="M31" s="209">
        <f t="shared" si="13"/>
        <v>96071.166666666672</v>
      </c>
      <c r="N31" s="210">
        <f t="shared" si="13"/>
        <v>96071.166666666672</v>
      </c>
    </row>
    <row r="32" spans="1:14">
      <c r="A32" s="198"/>
      <c r="B32" s="211" t="s">
        <v>90</v>
      </c>
      <c r="C32" s="203">
        <f t="shared" ref="C32:N32" si="14">C31*12%</f>
        <v>11528.54</v>
      </c>
      <c r="D32" s="209">
        <f t="shared" si="14"/>
        <v>11528.54</v>
      </c>
      <c r="E32" s="209">
        <f t="shared" si="14"/>
        <v>11528.54</v>
      </c>
      <c r="F32" s="209">
        <f t="shared" si="14"/>
        <v>11528.54</v>
      </c>
      <c r="G32" s="209">
        <f t="shared" si="14"/>
        <v>11528.54</v>
      </c>
      <c r="H32" s="209">
        <f t="shared" si="14"/>
        <v>11528.54</v>
      </c>
      <c r="I32" s="209">
        <f t="shared" si="14"/>
        <v>11528.54</v>
      </c>
      <c r="J32" s="209">
        <f t="shared" si="14"/>
        <v>11528.54</v>
      </c>
      <c r="K32" s="209">
        <f t="shared" si="14"/>
        <v>11528.54</v>
      </c>
      <c r="L32" s="209">
        <f t="shared" si="14"/>
        <v>11528.54</v>
      </c>
      <c r="M32" s="209">
        <f t="shared" si="14"/>
        <v>11528.54</v>
      </c>
      <c r="N32" s="210">
        <f t="shared" si="14"/>
        <v>11528.54</v>
      </c>
    </row>
    <row r="33" spans="1:14">
      <c r="A33" s="198"/>
      <c r="B33" s="211" t="s">
        <v>91</v>
      </c>
      <c r="C33" s="203">
        <f t="shared" ref="C33:N33" si="15">C6*(25/6)%</f>
        <v>43750.000000000007</v>
      </c>
      <c r="D33" s="209">
        <f t="shared" si="15"/>
        <v>43750.000000000007</v>
      </c>
      <c r="E33" s="209">
        <f t="shared" si="15"/>
        <v>43750.000000000007</v>
      </c>
      <c r="F33" s="209">
        <f t="shared" si="15"/>
        <v>43750.000000000007</v>
      </c>
      <c r="G33" s="209">
        <f t="shared" si="15"/>
        <v>43750.000000000007</v>
      </c>
      <c r="H33" s="209">
        <f t="shared" si="15"/>
        <v>43750.000000000007</v>
      </c>
      <c r="I33" s="209">
        <f t="shared" si="15"/>
        <v>43750.000000000007</v>
      </c>
      <c r="J33" s="209">
        <f t="shared" si="15"/>
        <v>43750.000000000007</v>
      </c>
      <c r="K33" s="209">
        <f t="shared" si="15"/>
        <v>43750.000000000007</v>
      </c>
      <c r="L33" s="209">
        <f t="shared" si="15"/>
        <v>43750.000000000007</v>
      </c>
      <c r="M33" s="209">
        <f t="shared" si="15"/>
        <v>43750.000000000007</v>
      </c>
      <c r="N33" s="210">
        <f t="shared" si="15"/>
        <v>43750.000000000007</v>
      </c>
    </row>
    <row r="34" spans="1:14">
      <c r="A34" s="198"/>
      <c r="B34" s="199"/>
      <c r="C34" s="203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01"/>
    </row>
    <row r="35" spans="1:14">
      <c r="A35" s="198"/>
      <c r="B35" s="199" t="s">
        <v>92</v>
      </c>
      <c r="C35" s="203">
        <f t="shared" ref="C35:N35" si="16">SUM(C15,C17:C33)</f>
        <v>1715505.8733333335</v>
      </c>
      <c r="D35" s="209">
        <f t="shared" si="16"/>
        <v>1715505.8733333335</v>
      </c>
      <c r="E35" s="209">
        <f t="shared" si="16"/>
        <v>1715505.8733333335</v>
      </c>
      <c r="F35" s="209">
        <f t="shared" si="16"/>
        <v>1715505.8733333335</v>
      </c>
      <c r="G35" s="209">
        <f t="shared" si="16"/>
        <v>1715505.8733333335</v>
      </c>
      <c r="H35" s="209">
        <f t="shared" si="16"/>
        <v>1715505.8733333335</v>
      </c>
      <c r="I35" s="209">
        <f t="shared" si="16"/>
        <v>1715505.8733333335</v>
      </c>
      <c r="J35" s="209">
        <f t="shared" si="16"/>
        <v>1715505.8733333335</v>
      </c>
      <c r="K35" s="209">
        <f t="shared" si="16"/>
        <v>1715505.8733333335</v>
      </c>
      <c r="L35" s="209">
        <f t="shared" si="16"/>
        <v>1715505.8733333335</v>
      </c>
      <c r="M35" s="209">
        <f t="shared" si="16"/>
        <v>1715505.8733333335</v>
      </c>
      <c r="N35" s="210">
        <f t="shared" si="16"/>
        <v>1715505.8733333335</v>
      </c>
    </row>
    <row r="36" spans="1:14">
      <c r="A36" s="198"/>
      <c r="B36" s="199" t="s">
        <v>93</v>
      </c>
      <c r="C36" s="203">
        <f>C35-SUM(C30:C33)</f>
        <v>1468085.0000000002</v>
      </c>
      <c r="D36" s="209">
        <f t="shared" ref="D36:N36" si="17">D35-SUM(D30:D33)</f>
        <v>1468085.0000000002</v>
      </c>
      <c r="E36" s="209">
        <f t="shared" si="17"/>
        <v>1468085.0000000002</v>
      </c>
      <c r="F36" s="209">
        <f t="shared" si="17"/>
        <v>1468085.0000000002</v>
      </c>
      <c r="G36" s="209">
        <f t="shared" si="17"/>
        <v>1468085.0000000002</v>
      </c>
      <c r="H36" s="209">
        <f t="shared" si="17"/>
        <v>1468085.0000000002</v>
      </c>
      <c r="I36" s="209">
        <f t="shared" si="17"/>
        <v>1468085.0000000002</v>
      </c>
      <c r="J36" s="209">
        <f t="shared" si="17"/>
        <v>1468085.0000000002</v>
      </c>
      <c r="K36" s="209">
        <f t="shared" si="17"/>
        <v>1468085.0000000002</v>
      </c>
      <c r="L36" s="209">
        <f t="shared" si="17"/>
        <v>1468085.0000000002</v>
      </c>
      <c r="M36" s="209">
        <f t="shared" si="17"/>
        <v>1468085.0000000002</v>
      </c>
      <c r="N36" s="210">
        <f t="shared" si="17"/>
        <v>1468085.0000000002</v>
      </c>
    </row>
    <row r="37" spans="1:14">
      <c r="A37" s="198"/>
      <c r="B37" s="199" t="s">
        <v>94</v>
      </c>
      <c r="C37" s="213">
        <v>2</v>
      </c>
      <c r="D37" s="213">
        <f>C37</f>
        <v>2</v>
      </c>
      <c r="E37" s="213">
        <f t="shared" ref="E37:N37" si="18">D37</f>
        <v>2</v>
      </c>
      <c r="F37" s="213">
        <f t="shared" si="18"/>
        <v>2</v>
      </c>
      <c r="G37" s="213">
        <f t="shared" si="18"/>
        <v>2</v>
      </c>
      <c r="H37" s="213">
        <f t="shared" si="18"/>
        <v>2</v>
      </c>
      <c r="I37" s="213">
        <f t="shared" si="18"/>
        <v>2</v>
      </c>
      <c r="J37" s="213">
        <f t="shared" si="18"/>
        <v>2</v>
      </c>
      <c r="K37" s="213">
        <f t="shared" si="18"/>
        <v>2</v>
      </c>
      <c r="L37" s="213">
        <f t="shared" si="18"/>
        <v>2</v>
      </c>
      <c r="M37" s="213">
        <f t="shared" si="18"/>
        <v>2</v>
      </c>
      <c r="N37" s="214">
        <f t="shared" si="18"/>
        <v>2</v>
      </c>
    </row>
    <row r="38" spans="1:14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201"/>
    </row>
    <row r="39" spans="1:14">
      <c r="A39" s="198"/>
      <c r="B39" s="199"/>
      <c r="C39" s="200">
        <f>(C35*100%/C13)-1</f>
        <v>0.63381511746031771</v>
      </c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1"/>
    </row>
    <row r="40" spans="1:14">
      <c r="A40" s="198"/>
      <c r="B40" s="199"/>
      <c r="C40" s="206" t="s">
        <v>55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01"/>
    </row>
    <row r="41" spans="1:1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01"/>
    </row>
    <row r="42" spans="1:14">
      <c r="A42" s="198"/>
      <c r="B42" s="199"/>
      <c r="C42" s="199" t="s">
        <v>93</v>
      </c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201"/>
    </row>
    <row r="43" spans="1:14">
      <c r="A43" s="198"/>
      <c r="B43" s="199"/>
      <c r="C43" s="199" t="s">
        <v>95</v>
      </c>
      <c r="D43" s="199">
        <v>1</v>
      </c>
      <c r="E43" s="199">
        <v>2</v>
      </c>
      <c r="F43" s="199">
        <v>3</v>
      </c>
      <c r="G43" s="199">
        <v>4</v>
      </c>
      <c r="H43" s="199"/>
      <c r="I43" s="199"/>
      <c r="J43" s="199"/>
      <c r="K43" s="199"/>
      <c r="L43" s="199"/>
      <c r="M43" s="199"/>
      <c r="N43" s="201"/>
    </row>
    <row r="44" spans="1:14">
      <c r="A44" s="198"/>
      <c r="B44" s="199"/>
      <c r="C44" s="199"/>
      <c r="D44" s="209">
        <f>SUM(C36:E36)</f>
        <v>4404255.0000000009</v>
      </c>
      <c r="E44" s="209">
        <f>SUM(F36:H36,C30:H30)</f>
        <v>4980682.0000000028</v>
      </c>
      <c r="F44" s="209">
        <f>SUM(I36:K36)</f>
        <v>4404255.0000000009</v>
      </c>
      <c r="G44" s="209">
        <f>SUM(L36:N36,C33:N33,C32:N32,C31:N31,I30:N30)</f>
        <v>6796878.480000007</v>
      </c>
      <c r="H44" s="199"/>
      <c r="I44" s="199"/>
      <c r="J44" s="199"/>
      <c r="K44" s="199"/>
      <c r="L44" s="199"/>
      <c r="M44" s="199"/>
      <c r="N44" s="201"/>
    </row>
    <row r="45" spans="1:14">
      <c r="A45" s="198"/>
      <c r="B45" s="199"/>
      <c r="C45" s="199"/>
      <c r="D45" s="215">
        <f>D44*$C$37</f>
        <v>8808510.0000000019</v>
      </c>
      <c r="E45" s="215">
        <f t="shared" ref="E45:G45" si="19">E44*$C$37</f>
        <v>9961364.0000000056</v>
      </c>
      <c r="F45" s="215">
        <f t="shared" si="19"/>
        <v>8808510.0000000019</v>
      </c>
      <c r="G45" s="215">
        <f t="shared" si="19"/>
        <v>13593756.960000014</v>
      </c>
      <c r="H45" s="199"/>
      <c r="I45" s="199"/>
      <c r="J45" s="199"/>
      <c r="K45" s="199"/>
      <c r="L45" s="199"/>
      <c r="M45" s="199"/>
      <c r="N45" s="201"/>
    </row>
    <row r="46" spans="1:14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1"/>
    </row>
    <row r="47" spans="1:14">
      <c r="A47" s="198"/>
      <c r="B47" s="199" t="s">
        <v>96</v>
      </c>
      <c r="C47" s="216">
        <f>SUM(C15,C17:C18,C20:C21,C23,C26:C28)</f>
        <v>1468085</v>
      </c>
      <c r="D47" s="216">
        <f>SUM(D15,D17:D18,D20:D21,D23,D26:D28)</f>
        <v>1468085</v>
      </c>
      <c r="E47" s="216">
        <f>SUM(E15,E17:E18,E20:E21,E23,E26:E28)</f>
        <v>1468085</v>
      </c>
      <c r="F47" s="216">
        <f>SUM(F15,F17:F18,F20:F21,F23,F26:F28)</f>
        <v>1468085</v>
      </c>
      <c r="G47" s="216">
        <f>SUM(G15,G17:G18,G20:G21,G23,G26:G28)</f>
        <v>1468085</v>
      </c>
      <c r="H47" s="216">
        <f>SUM(H15,H17:H18,H20:H21,H23,H26:H28,C30:H30)</f>
        <v>2044512.0000000005</v>
      </c>
      <c r="I47" s="216">
        <f>SUM(I15,I17:I18,I20:I21,I23,I26:I28)</f>
        <v>1468085</v>
      </c>
      <c r="J47" s="216">
        <f t="shared" ref="J47:M47" si="20">SUM(J15,J17:J18,J20:J21,J23,J26:J28)</f>
        <v>1468085</v>
      </c>
      <c r="K47" s="216">
        <f t="shared" si="20"/>
        <v>1468085</v>
      </c>
      <c r="L47" s="216">
        <f t="shared" si="20"/>
        <v>1468085</v>
      </c>
      <c r="M47" s="216">
        <f t="shared" si="20"/>
        <v>1468085</v>
      </c>
      <c r="N47" s="217">
        <f>SUM(N15,N17:N18,N20:N21,N23,N26:N28,I30:N30,C33:N33)</f>
        <v>2569512.0000000005</v>
      </c>
    </row>
    <row r="48" spans="1:14" ht="15.75" thickBot="1">
      <c r="A48" s="218"/>
      <c r="B48" s="219" t="s">
        <v>97</v>
      </c>
      <c r="C48" s="220">
        <f>SUM(C47:N47)</f>
        <v>19294874</v>
      </c>
      <c r="D48" s="221">
        <f>C48*4</f>
        <v>77179496</v>
      </c>
      <c r="E48" s="219"/>
      <c r="F48" s="219"/>
      <c r="G48" s="219"/>
      <c r="H48" s="219"/>
      <c r="I48" s="219"/>
      <c r="J48" s="219"/>
      <c r="K48" s="219"/>
      <c r="L48" s="219"/>
      <c r="M48" s="219"/>
      <c r="N48" s="222"/>
    </row>
    <row r="49" spans="1:14">
      <c r="A49" s="223" t="s">
        <v>181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5"/>
    </row>
    <row r="50" spans="1:14">
      <c r="A50" s="226"/>
      <c r="B50" s="227" t="s">
        <v>68</v>
      </c>
      <c r="C50" s="227">
        <v>1</v>
      </c>
      <c r="D50" s="228">
        <f>0.00522</f>
        <v>5.2199999999999998E-3</v>
      </c>
      <c r="E50" s="227"/>
      <c r="F50" s="227"/>
      <c r="G50" s="227"/>
      <c r="H50" s="227"/>
      <c r="I50" s="227"/>
      <c r="J50" s="227"/>
      <c r="K50" s="227"/>
      <c r="L50" s="227"/>
      <c r="M50" s="227"/>
      <c r="N50" s="229"/>
    </row>
    <row r="51" spans="1:14">
      <c r="A51" s="226"/>
      <c r="B51" s="227"/>
      <c r="C51" s="227">
        <v>2</v>
      </c>
      <c r="D51" s="228">
        <f>1.044%</f>
        <v>1.044E-2</v>
      </c>
      <c r="E51" s="227"/>
      <c r="F51" s="227"/>
      <c r="G51" s="227"/>
      <c r="H51" s="227"/>
      <c r="I51" s="227"/>
      <c r="J51" s="227"/>
      <c r="K51" s="227"/>
      <c r="L51" s="227"/>
      <c r="M51" s="227"/>
      <c r="N51" s="229"/>
    </row>
    <row r="52" spans="1:14">
      <c r="A52" s="226"/>
      <c r="B52" s="227"/>
      <c r="C52" s="227">
        <v>3</v>
      </c>
      <c r="D52" s="230">
        <v>2.436E-2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29"/>
    </row>
    <row r="53" spans="1:14">
      <c r="A53" s="226"/>
      <c r="B53" s="227" t="s">
        <v>101</v>
      </c>
      <c r="C53" s="231">
        <v>7.0000000000000007E-2</v>
      </c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9"/>
    </row>
    <row r="54" spans="1:14">
      <c r="A54" s="226"/>
      <c r="B54" s="227" t="s">
        <v>69</v>
      </c>
      <c r="C54" s="232">
        <f>C6*(1+C53)</f>
        <v>1123500</v>
      </c>
      <c r="D54" s="232">
        <f>C54</f>
        <v>1123500</v>
      </c>
      <c r="E54" s="232">
        <f t="shared" ref="E54:N54" si="21">D54</f>
        <v>1123500</v>
      </c>
      <c r="F54" s="232">
        <f t="shared" si="21"/>
        <v>1123500</v>
      </c>
      <c r="G54" s="232">
        <f t="shared" si="21"/>
        <v>1123500</v>
      </c>
      <c r="H54" s="232">
        <f t="shared" si="21"/>
        <v>1123500</v>
      </c>
      <c r="I54" s="232">
        <f t="shared" si="21"/>
        <v>1123500</v>
      </c>
      <c r="J54" s="232">
        <f t="shared" si="21"/>
        <v>1123500</v>
      </c>
      <c r="K54" s="232">
        <f t="shared" si="21"/>
        <v>1123500</v>
      </c>
      <c r="L54" s="232">
        <f t="shared" si="21"/>
        <v>1123500</v>
      </c>
      <c r="M54" s="232">
        <f t="shared" si="21"/>
        <v>1123500</v>
      </c>
      <c r="N54" s="233">
        <f t="shared" si="21"/>
        <v>1123500</v>
      </c>
    </row>
    <row r="55" spans="1:14">
      <c r="A55" s="226"/>
      <c r="B55" s="227" t="s">
        <v>70</v>
      </c>
      <c r="C55" s="232">
        <f>IF(C54&lt;2*908526,106454,0)</f>
        <v>106454</v>
      </c>
      <c r="D55" s="232">
        <f t="shared" ref="D55:N55" si="22">IF(D54&lt;2*908526,106454,0)</f>
        <v>106454</v>
      </c>
      <c r="E55" s="232">
        <f t="shared" si="22"/>
        <v>106454</v>
      </c>
      <c r="F55" s="232">
        <f t="shared" si="22"/>
        <v>106454</v>
      </c>
      <c r="G55" s="232">
        <f t="shared" si="22"/>
        <v>106454</v>
      </c>
      <c r="H55" s="232">
        <f t="shared" si="22"/>
        <v>106454</v>
      </c>
      <c r="I55" s="232">
        <f t="shared" si="22"/>
        <v>106454</v>
      </c>
      <c r="J55" s="232">
        <f t="shared" si="22"/>
        <v>106454</v>
      </c>
      <c r="K55" s="232">
        <f t="shared" si="22"/>
        <v>106454</v>
      </c>
      <c r="L55" s="232">
        <f t="shared" si="22"/>
        <v>106454</v>
      </c>
      <c r="M55" s="232">
        <f t="shared" si="22"/>
        <v>106454</v>
      </c>
      <c r="N55" s="232">
        <f t="shared" si="22"/>
        <v>106454</v>
      </c>
    </row>
    <row r="56" spans="1:14">
      <c r="A56" s="234"/>
      <c r="B56" s="227" t="s">
        <v>71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235">
        <v>0</v>
      </c>
      <c r="L56" s="235">
        <v>0</v>
      </c>
      <c r="M56" s="235">
        <v>0</v>
      </c>
      <c r="N56" s="236">
        <v>0</v>
      </c>
    </row>
    <row r="57" spans="1:14">
      <c r="A57" s="226"/>
      <c r="B57" s="227" t="s">
        <v>72</v>
      </c>
      <c r="C57" s="237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6"/>
    </row>
    <row r="58" spans="1:14">
      <c r="A58" s="226"/>
      <c r="B58" s="227" t="s">
        <v>73</v>
      </c>
      <c r="C58" s="237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6"/>
    </row>
    <row r="59" spans="1:14">
      <c r="A59" s="226"/>
      <c r="B59" s="227"/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</row>
    <row r="60" spans="1:14">
      <c r="A60" s="409" t="s">
        <v>74</v>
      </c>
      <c r="B60" s="227" t="s">
        <v>75</v>
      </c>
      <c r="C60" s="232">
        <f t="shared" ref="C60:E60" si="23">SUM(C54:C58)</f>
        <v>1229954</v>
      </c>
      <c r="D60" s="235">
        <f t="shared" si="23"/>
        <v>1229954</v>
      </c>
      <c r="E60" s="235">
        <f t="shared" si="23"/>
        <v>1229954</v>
      </c>
      <c r="F60" s="235">
        <f>SUM(F54:F58)</f>
        <v>1229954</v>
      </c>
      <c r="G60" s="235">
        <f t="shared" ref="G60:N60" si="24">SUM(G54:G58)</f>
        <v>1229954</v>
      </c>
      <c r="H60" s="235">
        <f t="shared" si="24"/>
        <v>1229954</v>
      </c>
      <c r="I60" s="235">
        <f t="shared" si="24"/>
        <v>1229954</v>
      </c>
      <c r="J60" s="235">
        <f t="shared" si="24"/>
        <v>1229954</v>
      </c>
      <c r="K60" s="235">
        <f t="shared" si="24"/>
        <v>1229954</v>
      </c>
      <c r="L60" s="235">
        <f t="shared" si="24"/>
        <v>1229954</v>
      </c>
      <c r="M60" s="235">
        <f t="shared" si="24"/>
        <v>1229954</v>
      </c>
      <c r="N60" s="236">
        <f t="shared" si="24"/>
        <v>1229954</v>
      </c>
    </row>
    <row r="61" spans="1:14">
      <c r="A61" s="409"/>
      <c r="B61" s="227" t="s">
        <v>76</v>
      </c>
      <c r="C61" s="232">
        <f t="shared" ref="C61:N61" si="25">C60-C55</f>
        <v>1123500</v>
      </c>
      <c r="D61" s="238">
        <f t="shared" si="25"/>
        <v>1123500</v>
      </c>
      <c r="E61" s="238">
        <f t="shared" si="25"/>
        <v>1123500</v>
      </c>
      <c r="F61" s="238">
        <f t="shared" si="25"/>
        <v>1123500</v>
      </c>
      <c r="G61" s="238">
        <f t="shared" si="25"/>
        <v>1123500</v>
      </c>
      <c r="H61" s="238">
        <f t="shared" si="25"/>
        <v>1123500</v>
      </c>
      <c r="I61" s="238">
        <f t="shared" si="25"/>
        <v>1123500</v>
      </c>
      <c r="J61" s="238">
        <f t="shared" si="25"/>
        <v>1123500</v>
      </c>
      <c r="K61" s="238">
        <f t="shared" si="25"/>
        <v>1123500</v>
      </c>
      <c r="L61" s="238">
        <f t="shared" si="25"/>
        <v>1123500</v>
      </c>
      <c r="M61" s="238">
        <f t="shared" si="25"/>
        <v>1123500</v>
      </c>
      <c r="N61" s="239">
        <f t="shared" si="25"/>
        <v>1123500</v>
      </c>
    </row>
    <row r="62" spans="1:14">
      <c r="A62" s="226"/>
      <c r="B62" s="227"/>
      <c r="C62" s="232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9"/>
    </row>
    <row r="63" spans="1:14">
      <c r="A63" s="226"/>
      <c r="B63" s="227" t="s">
        <v>77</v>
      </c>
      <c r="C63" s="232">
        <f t="shared" ref="C63:N63" si="26">C60-C65-C68</f>
        <v>1140074</v>
      </c>
      <c r="D63" s="238">
        <f t="shared" si="26"/>
        <v>1140074</v>
      </c>
      <c r="E63" s="238">
        <f t="shared" si="26"/>
        <v>1140074</v>
      </c>
      <c r="F63" s="238">
        <f t="shared" si="26"/>
        <v>1140074</v>
      </c>
      <c r="G63" s="238">
        <f t="shared" si="26"/>
        <v>1140074</v>
      </c>
      <c r="H63" s="238">
        <f t="shared" si="26"/>
        <v>1140074</v>
      </c>
      <c r="I63" s="238">
        <f t="shared" si="26"/>
        <v>1140074</v>
      </c>
      <c r="J63" s="238">
        <f t="shared" si="26"/>
        <v>1140074</v>
      </c>
      <c r="K63" s="238">
        <f t="shared" si="26"/>
        <v>1140074</v>
      </c>
      <c r="L63" s="238">
        <f t="shared" si="26"/>
        <v>1140074</v>
      </c>
      <c r="M63" s="238">
        <f t="shared" si="26"/>
        <v>1140074</v>
      </c>
      <c r="N63" s="239">
        <f t="shared" si="26"/>
        <v>1140074</v>
      </c>
    </row>
    <row r="64" spans="1:14">
      <c r="A64" s="226"/>
      <c r="B64" s="227"/>
      <c r="C64" s="232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9"/>
    </row>
    <row r="65" spans="1:14">
      <c r="A65" s="410" t="s">
        <v>78</v>
      </c>
      <c r="B65" s="240" t="s">
        <v>79</v>
      </c>
      <c r="C65" s="232">
        <f t="shared" ref="C65:N65" si="27">C61*4%</f>
        <v>44940</v>
      </c>
      <c r="D65" s="238">
        <f t="shared" si="27"/>
        <v>44940</v>
      </c>
      <c r="E65" s="238">
        <f t="shared" si="27"/>
        <v>44940</v>
      </c>
      <c r="F65" s="238">
        <f t="shared" si="27"/>
        <v>44940</v>
      </c>
      <c r="G65" s="238">
        <f t="shared" si="27"/>
        <v>44940</v>
      </c>
      <c r="H65" s="238">
        <f t="shared" si="27"/>
        <v>44940</v>
      </c>
      <c r="I65" s="238">
        <f t="shared" si="27"/>
        <v>44940</v>
      </c>
      <c r="J65" s="238">
        <f t="shared" si="27"/>
        <v>44940</v>
      </c>
      <c r="K65" s="238">
        <f t="shared" si="27"/>
        <v>44940</v>
      </c>
      <c r="L65" s="238">
        <f t="shared" si="27"/>
        <v>44940</v>
      </c>
      <c r="M65" s="238">
        <f t="shared" si="27"/>
        <v>44940</v>
      </c>
      <c r="N65" s="239">
        <f t="shared" si="27"/>
        <v>44940</v>
      </c>
    </row>
    <row r="66" spans="1:14">
      <c r="A66" s="410"/>
      <c r="B66" s="240" t="s">
        <v>80</v>
      </c>
      <c r="C66" s="232">
        <f t="shared" ref="C66:N66" si="28">C61*8.5%</f>
        <v>95497.5</v>
      </c>
      <c r="D66" s="238">
        <f t="shared" si="28"/>
        <v>95497.5</v>
      </c>
      <c r="E66" s="238">
        <f t="shared" si="28"/>
        <v>95497.5</v>
      </c>
      <c r="F66" s="238">
        <f t="shared" si="28"/>
        <v>95497.5</v>
      </c>
      <c r="G66" s="238">
        <f t="shared" si="28"/>
        <v>95497.5</v>
      </c>
      <c r="H66" s="238">
        <f t="shared" si="28"/>
        <v>95497.5</v>
      </c>
      <c r="I66" s="238">
        <f t="shared" si="28"/>
        <v>95497.5</v>
      </c>
      <c r="J66" s="238">
        <f t="shared" si="28"/>
        <v>95497.5</v>
      </c>
      <c r="K66" s="238">
        <f t="shared" si="28"/>
        <v>95497.5</v>
      </c>
      <c r="L66" s="238">
        <f t="shared" si="28"/>
        <v>95497.5</v>
      </c>
      <c r="M66" s="238">
        <f t="shared" si="28"/>
        <v>95497.5</v>
      </c>
      <c r="N66" s="239">
        <f t="shared" si="28"/>
        <v>95497.5</v>
      </c>
    </row>
    <row r="67" spans="1:14">
      <c r="A67" s="226"/>
      <c r="B67" s="240"/>
      <c r="C67" s="232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9"/>
    </row>
    <row r="68" spans="1:14">
      <c r="A68" s="410" t="s">
        <v>81</v>
      </c>
      <c r="B68" s="240" t="s">
        <v>82</v>
      </c>
      <c r="C68" s="232">
        <f t="shared" ref="C68:N68" si="29">C61*4%</f>
        <v>44940</v>
      </c>
      <c r="D68" s="238">
        <f t="shared" si="29"/>
        <v>44940</v>
      </c>
      <c r="E68" s="238">
        <f t="shared" si="29"/>
        <v>44940</v>
      </c>
      <c r="F68" s="238">
        <f t="shared" si="29"/>
        <v>44940</v>
      </c>
      <c r="G68" s="238">
        <f t="shared" si="29"/>
        <v>44940</v>
      </c>
      <c r="H68" s="238">
        <f t="shared" si="29"/>
        <v>44940</v>
      </c>
      <c r="I68" s="238">
        <f t="shared" si="29"/>
        <v>44940</v>
      </c>
      <c r="J68" s="238">
        <f t="shared" si="29"/>
        <v>44940</v>
      </c>
      <c r="K68" s="238">
        <f t="shared" si="29"/>
        <v>44940</v>
      </c>
      <c r="L68" s="238">
        <f t="shared" si="29"/>
        <v>44940</v>
      </c>
      <c r="M68" s="238">
        <f t="shared" si="29"/>
        <v>44940</v>
      </c>
      <c r="N68" s="239">
        <f t="shared" si="29"/>
        <v>44940</v>
      </c>
    </row>
    <row r="69" spans="1:14">
      <c r="A69" s="410"/>
      <c r="B69" s="240" t="s">
        <v>80</v>
      </c>
      <c r="C69" s="232">
        <f t="shared" ref="C69:N69" si="30">C61*12%</f>
        <v>134820</v>
      </c>
      <c r="D69" s="238">
        <f t="shared" si="30"/>
        <v>134820</v>
      </c>
      <c r="E69" s="238">
        <f t="shared" si="30"/>
        <v>134820</v>
      </c>
      <c r="F69" s="238">
        <f t="shared" si="30"/>
        <v>134820</v>
      </c>
      <c r="G69" s="238">
        <f t="shared" si="30"/>
        <v>134820</v>
      </c>
      <c r="H69" s="238">
        <f t="shared" si="30"/>
        <v>134820</v>
      </c>
      <c r="I69" s="238">
        <f t="shared" si="30"/>
        <v>134820</v>
      </c>
      <c r="J69" s="238">
        <f t="shared" si="30"/>
        <v>134820</v>
      </c>
      <c r="K69" s="238">
        <f t="shared" si="30"/>
        <v>134820</v>
      </c>
      <c r="L69" s="238">
        <f t="shared" si="30"/>
        <v>134820</v>
      </c>
      <c r="M69" s="238">
        <f t="shared" si="30"/>
        <v>134820</v>
      </c>
      <c r="N69" s="239">
        <f t="shared" si="30"/>
        <v>134820</v>
      </c>
    </row>
    <row r="70" spans="1:14">
      <c r="A70" s="226"/>
      <c r="B70" s="240"/>
      <c r="C70" s="232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9"/>
    </row>
    <row r="71" spans="1:14">
      <c r="A71" s="226" t="s">
        <v>83</v>
      </c>
      <c r="B71" s="241">
        <v>1</v>
      </c>
      <c r="C71" s="232">
        <f>IF(B71=C50,D50*C61,IF(B71=C51,D51*C61,IF(B71=C52,D52*C61,0)))</f>
        <v>5864.67</v>
      </c>
      <c r="D71" s="238">
        <f>IF(B71=C50,D50*C61,IF(B71=C51,D51*C61,IF(B71=C52,D52*C61,0)))</f>
        <v>5864.67</v>
      </c>
      <c r="E71" s="238">
        <f>IF(B71=C50,D50*C61,IF(B71=C51,D51*C61,IF(B71=C52,D52*C61,0)))</f>
        <v>5864.67</v>
      </c>
      <c r="F71" s="238">
        <f>IF(B71=C50,D50*C61,IF(B71=C51,D51*C61,IF(B71=C52,D52*C61,0)))</f>
        <v>5864.67</v>
      </c>
      <c r="G71" s="238">
        <f>IF(B71=C50,D50*C61,IF(B71=C51,D51*C61,IF(B71=C52,D52*C61,0)))</f>
        <v>5864.67</v>
      </c>
      <c r="H71" s="238">
        <f>IF(B71=C50,D50*C61,IF(B71=C51,D51*C61,IF(B71=C52,D52*C61,0)))</f>
        <v>5864.67</v>
      </c>
      <c r="I71" s="238">
        <f>IF(B71=C50,D50*C61,IF(B71=C51,D51*C61,IF(B71=C52,D52*C61,0)))</f>
        <v>5864.67</v>
      </c>
      <c r="J71" s="238">
        <f>IF(B71=C50,D50*C61,IF(B71=C51,D51*C61,IF(B71=C52,D52*C61,0)))</f>
        <v>5864.67</v>
      </c>
      <c r="K71" s="238">
        <f>IF(B71=C50,D50*C61,IF(B71=C51,D51*C61,IF(B71=C52,D52*C61,0)))</f>
        <v>5864.67</v>
      </c>
      <c r="L71" s="238">
        <f>IF(B71=C50,D50*C61,IF(B71=C51,D51*C61,IF(B71=C52,D52*C61,0)))</f>
        <v>5864.67</v>
      </c>
      <c r="M71" s="238">
        <f>IF(B71=C50,D50*C61,IF(B71=C51,D51*C61,IF(B71=C52,D52*C61,0)))</f>
        <v>5864.67</v>
      </c>
      <c r="N71" s="239">
        <f>IF(B71=C50,D50*C61,IF(B71=C51,D51*C61,IF(B71=C52,D52*C61,0)))</f>
        <v>5864.67</v>
      </c>
    </row>
    <row r="72" spans="1:14">
      <c r="A72" s="226"/>
      <c r="B72" s="240"/>
      <c r="C72" s="232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9"/>
    </row>
    <row r="73" spans="1:14">
      <c r="A73" s="226"/>
      <c r="B73" s="240"/>
      <c r="C73" s="232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9"/>
    </row>
    <row r="74" spans="1:14">
      <c r="A74" s="410" t="s">
        <v>84</v>
      </c>
      <c r="B74" s="240" t="s">
        <v>85</v>
      </c>
      <c r="C74" s="232">
        <f t="shared" ref="C74:N74" si="31">2%*C61</f>
        <v>22470</v>
      </c>
      <c r="D74" s="238">
        <f t="shared" si="31"/>
        <v>22470</v>
      </c>
      <c r="E74" s="238">
        <f t="shared" si="31"/>
        <v>22470</v>
      </c>
      <c r="F74" s="238">
        <f t="shared" si="31"/>
        <v>22470</v>
      </c>
      <c r="G74" s="238">
        <f t="shared" si="31"/>
        <v>22470</v>
      </c>
      <c r="H74" s="238">
        <f t="shared" si="31"/>
        <v>22470</v>
      </c>
      <c r="I74" s="238">
        <f t="shared" si="31"/>
        <v>22470</v>
      </c>
      <c r="J74" s="238">
        <f t="shared" si="31"/>
        <v>22470</v>
      </c>
      <c r="K74" s="238">
        <f t="shared" si="31"/>
        <v>22470</v>
      </c>
      <c r="L74" s="238">
        <f t="shared" si="31"/>
        <v>22470</v>
      </c>
      <c r="M74" s="238">
        <f t="shared" si="31"/>
        <v>22470</v>
      </c>
      <c r="N74" s="239">
        <f t="shared" si="31"/>
        <v>22470</v>
      </c>
    </row>
    <row r="75" spans="1:14">
      <c r="A75" s="410"/>
      <c r="B75" s="240" t="s">
        <v>86</v>
      </c>
      <c r="C75" s="232">
        <f t="shared" ref="C75:N75" si="32">C61*3%</f>
        <v>33705</v>
      </c>
      <c r="D75" s="238">
        <f t="shared" si="32"/>
        <v>33705</v>
      </c>
      <c r="E75" s="238">
        <f t="shared" si="32"/>
        <v>33705</v>
      </c>
      <c r="F75" s="238">
        <f t="shared" si="32"/>
        <v>33705</v>
      </c>
      <c r="G75" s="238">
        <f t="shared" si="32"/>
        <v>33705</v>
      </c>
      <c r="H75" s="238">
        <f t="shared" si="32"/>
        <v>33705</v>
      </c>
      <c r="I75" s="238">
        <f t="shared" si="32"/>
        <v>33705</v>
      </c>
      <c r="J75" s="238">
        <f t="shared" si="32"/>
        <v>33705</v>
      </c>
      <c r="K75" s="238">
        <f t="shared" si="32"/>
        <v>33705</v>
      </c>
      <c r="L75" s="238">
        <f t="shared" si="32"/>
        <v>33705</v>
      </c>
      <c r="M75" s="238">
        <f t="shared" si="32"/>
        <v>33705</v>
      </c>
      <c r="N75" s="239">
        <f t="shared" si="32"/>
        <v>33705</v>
      </c>
    </row>
    <row r="76" spans="1:14">
      <c r="A76" s="410"/>
      <c r="B76" s="240" t="s">
        <v>87</v>
      </c>
      <c r="C76" s="232">
        <f t="shared" ref="C76:N76" si="33">C61*4%</f>
        <v>44940</v>
      </c>
      <c r="D76" s="238">
        <f t="shared" si="33"/>
        <v>44940</v>
      </c>
      <c r="E76" s="238">
        <f t="shared" si="33"/>
        <v>44940</v>
      </c>
      <c r="F76" s="238">
        <f t="shared" si="33"/>
        <v>44940</v>
      </c>
      <c r="G76" s="238">
        <f t="shared" si="33"/>
        <v>44940</v>
      </c>
      <c r="H76" s="238">
        <f t="shared" si="33"/>
        <v>44940</v>
      </c>
      <c r="I76" s="238">
        <f t="shared" si="33"/>
        <v>44940</v>
      </c>
      <c r="J76" s="238">
        <f t="shared" si="33"/>
        <v>44940</v>
      </c>
      <c r="K76" s="238">
        <f t="shared" si="33"/>
        <v>44940</v>
      </c>
      <c r="L76" s="238">
        <f t="shared" si="33"/>
        <v>44940</v>
      </c>
      <c r="M76" s="238">
        <f t="shared" si="33"/>
        <v>44940</v>
      </c>
      <c r="N76" s="239">
        <f t="shared" si="33"/>
        <v>44940</v>
      </c>
    </row>
    <row r="77" spans="1:14">
      <c r="A77" s="226"/>
      <c r="B77" s="240"/>
      <c r="C77" s="232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9"/>
    </row>
    <row r="78" spans="1:14">
      <c r="A78" s="226"/>
      <c r="B78" s="240" t="s">
        <v>88</v>
      </c>
      <c r="C78" s="232">
        <f t="shared" ref="C78:D78" si="34">C60*(25/3)%</f>
        <v>102496.16666666667</v>
      </c>
      <c r="D78" s="238">
        <f t="shared" si="34"/>
        <v>102496.16666666667</v>
      </c>
      <c r="E78" s="238">
        <f>E60*(25/3)%</f>
        <v>102496.16666666667</v>
      </c>
      <c r="F78" s="238">
        <f t="shared" ref="F78:N78" si="35">F60*(25/3)%</f>
        <v>102496.16666666667</v>
      </c>
      <c r="G78" s="238">
        <f t="shared" si="35"/>
        <v>102496.16666666667</v>
      </c>
      <c r="H78" s="238">
        <f t="shared" si="35"/>
        <v>102496.16666666667</v>
      </c>
      <c r="I78" s="238">
        <f t="shared" si="35"/>
        <v>102496.16666666667</v>
      </c>
      <c r="J78" s="238">
        <f t="shared" si="35"/>
        <v>102496.16666666667</v>
      </c>
      <c r="K78" s="238">
        <f t="shared" si="35"/>
        <v>102496.16666666667</v>
      </c>
      <c r="L78" s="238">
        <f t="shared" si="35"/>
        <v>102496.16666666667</v>
      </c>
      <c r="M78" s="238">
        <f t="shared" si="35"/>
        <v>102496.16666666667</v>
      </c>
      <c r="N78" s="239">
        <f t="shared" si="35"/>
        <v>102496.16666666667</v>
      </c>
    </row>
    <row r="79" spans="1:14">
      <c r="A79" s="226"/>
      <c r="B79" s="240" t="s">
        <v>89</v>
      </c>
      <c r="C79" s="232">
        <f t="shared" ref="C79:N79" si="36">C60*(25/3)%</f>
        <v>102496.16666666667</v>
      </c>
      <c r="D79" s="238">
        <f t="shared" si="36"/>
        <v>102496.16666666667</v>
      </c>
      <c r="E79" s="238">
        <f t="shared" si="36"/>
        <v>102496.16666666667</v>
      </c>
      <c r="F79" s="238">
        <f t="shared" si="36"/>
        <v>102496.16666666667</v>
      </c>
      <c r="G79" s="238">
        <f t="shared" si="36"/>
        <v>102496.16666666667</v>
      </c>
      <c r="H79" s="238">
        <f t="shared" si="36"/>
        <v>102496.16666666667</v>
      </c>
      <c r="I79" s="238">
        <f t="shared" si="36"/>
        <v>102496.16666666667</v>
      </c>
      <c r="J79" s="238">
        <f t="shared" si="36"/>
        <v>102496.16666666667</v>
      </c>
      <c r="K79" s="238">
        <f t="shared" si="36"/>
        <v>102496.16666666667</v>
      </c>
      <c r="L79" s="238">
        <f t="shared" si="36"/>
        <v>102496.16666666667</v>
      </c>
      <c r="M79" s="238">
        <f t="shared" si="36"/>
        <v>102496.16666666667</v>
      </c>
      <c r="N79" s="239">
        <f t="shared" si="36"/>
        <v>102496.16666666667</v>
      </c>
    </row>
    <row r="80" spans="1:14">
      <c r="A80" s="226"/>
      <c r="B80" s="240" t="s">
        <v>90</v>
      </c>
      <c r="C80" s="232">
        <f t="shared" ref="C80:N80" si="37">C79*12%</f>
        <v>12299.54</v>
      </c>
      <c r="D80" s="238">
        <f t="shared" si="37"/>
        <v>12299.54</v>
      </c>
      <c r="E80" s="238">
        <f t="shared" si="37"/>
        <v>12299.54</v>
      </c>
      <c r="F80" s="238">
        <f t="shared" si="37"/>
        <v>12299.54</v>
      </c>
      <c r="G80" s="238">
        <f t="shared" si="37"/>
        <v>12299.54</v>
      </c>
      <c r="H80" s="238">
        <f t="shared" si="37"/>
        <v>12299.54</v>
      </c>
      <c r="I80" s="238">
        <f t="shared" si="37"/>
        <v>12299.54</v>
      </c>
      <c r="J80" s="238">
        <f t="shared" si="37"/>
        <v>12299.54</v>
      </c>
      <c r="K80" s="238">
        <f t="shared" si="37"/>
        <v>12299.54</v>
      </c>
      <c r="L80" s="238">
        <f t="shared" si="37"/>
        <v>12299.54</v>
      </c>
      <c r="M80" s="238">
        <f t="shared" si="37"/>
        <v>12299.54</v>
      </c>
      <c r="N80" s="239">
        <f t="shared" si="37"/>
        <v>12299.54</v>
      </c>
    </row>
    <row r="81" spans="1:14">
      <c r="A81" s="226"/>
      <c r="B81" s="240" t="s">
        <v>91</v>
      </c>
      <c r="C81" s="232">
        <f t="shared" ref="C81:N81" si="38">C54*(25/6)%</f>
        <v>46812.500000000007</v>
      </c>
      <c r="D81" s="238">
        <f t="shared" si="38"/>
        <v>46812.500000000007</v>
      </c>
      <c r="E81" s="238">
        <f t="shared" si="38"/>
        <v>46812.500000000007</v>
      </c>
      <c r="F81" s="238">
        <f t="shared" si="38"/>
        <v>46812.500000000007</v>
      </c>
      <c r="G81" s="238">
        <f t="shared" si="38"/>
        <v>46812.500000000007</v>
      </c>
      <c r="H81" s="238">
        <f t="shared" si="38"/>
        <v>46812.500000000007</v>
      </c>
      <c r="I81" s="238">
        <f t="shared" si="38"/>
        <v>46812.500000000007</v>
      </c>
      <c r="J81" s="238">
        <f t="shared" si="38"/>
        <v>46812.500000000007</v>
      </c>
      <c r="K81" s="238">
        <f t="shared" si="38"/>
        <v>46812.500000000007</v>
      </c>
      <c r="L81" s="238">
        <f t="shared" si="38"/>
        <v>46812.500000000007</v>
      </c>
      <c r="M81" s="238">
        <f t="shared" si="38"/>
        <v>46812.500000000007</v>
      </c>
      <c r="N81" s="239">
        <f t="shared" si="38"/>
        <v>46812.500000000007</v>
      </c>
    </row>
    <row r="82" spans="1:14">
      <c r="A82" s="226"/>
      <c r="B82" s="227"/>
      <c r="C82" s="232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9"/>
    </row>
    <row r="83" spans="1:14">
      <c r="A83" s="226"/>
      <c r="B83" s="227" t="s">
        <v>92</v>
      </c>
      <c r="C83" s="232">
        <f t="shared" ref="C83:N83" si="39">SUM(C63,C65:C81)</f>
        <v>1831355.5433333335</v>
      </c>
      <c r="D83" s="238">
        <f t="shared" si="39"/>
        <v>1831355.5433333335</v>
      </c>
      <c r="E83" s="238">
        <f t="shared" si="39"/>
        <v>1831355.5433333335</v>
      </c>
      <c r="F83" s="238">
        <f t="shared" si="39"/>
        <v>1831355.5433333335</v>
      </c>
      <c r="G83" s="238">
        <f t="shared" si="39"/>
        <v>1831355.5433333335</v>
      </c>
      <c r="H83" s="238">
        <f t="shared" si="39"/>
        <v>1831355.5433333335</v>
      </c>
      <c r="I83" s="238">
        <f t="shared" si="39"/>
        <v>1831355.5433333335</v>
      </c>
      <c r="J83" s="238">
        <f t="shared" si="39"/>
        <v>1831355.5433333335</v>
      </c>
      <c r="K83" s="238">
        <f t="shared" si="39"/>
        <v>1831355.5433333335</v>
      </c>
      <c r="L83" s="238">
        <f t="shared" si="39"/>
        <v>1831355.5433333335</v>
      </c>
      <c r="M83" s="238">
        <f t="shared" si="39"/>
        <v>1831355.5433333335</v>
      </c>
      <c r="N83" s="239">
        <f t="shared" si="39"/>
        <v>1831355.5433333335</v>
      </c>
    </row>
    <row r="84" spans="1:14">
      <c r="A84" s="226"/>
      <c r="B84" s="227" t="s">
        <v>93</v>
      </c>
      <c r="C84" s="232">
        <f>C83-SUM(C78:C81)</f>
        <v>1567251.1700000002</v>
      </c>
      <c r="D84" s="238">
        <f t="shared" ref="D84:N84" si="40">D83-SUM(D78:D81)</f>
        <v>1567251.1700000002</v>
      </c>
      <c r="E84" s="238">
        <f t="shared" si="40"/>
        <v>1567251.1700000002</v>
      </c>
      <c r="F84" s="238">
        <f t="shared" si="40"/>
        <v>1567251.1700000002</v>
      </c>
      <c r="G84" s="238">
        <f t="shared" si="40"/>
        <v>1567251.1700000002</v>
      </c>
      <c r="H84" s="238">
        <f t="shared" si="40"/>
        <v>1567251.1700000002</v>
      </c>
      <c r="I84" s="238">
        <f t="shared" si="40"/>
        <v>1567251.1700000002</v>
      </c>
      <c r="J84" s="238">
        <f t="shared" si="40"/>
        <v>1567251.1700000002</v>
      </c>
      <c r="K84" s="238">
        <f t="shared" si="40"/>
        <v>1567251.1700000002</v>
      </c>
      <c r="L84" s="238">
        <f t="shared" si="40"/>
        <v>1567251.1700000002</v>
      </c>
      <c r="M84" s="238">
        <f t="shared" si="40"/>
        <v>1567251.1700000002</v>
      </c>
      <c r="N84" s="239">
        <f t="shared" si="40"/>
        <v>1567251.1700000002</v>
      </c>
    </row>
    <row r="85" spans="1:14">
      <c r="A85" s="226"/>
      <c r="B85" s="227" t="s">
        <v>94</v>
      </c>
      <c r="C85" s="242">
        <v>2</v>
      </c>
      <c r="D85" s="242">
        <f>C85</f>
        <v>2</v>
      </c>
      <c r="E85" s="242">
        <f t="shared" ref="E85:N85" si="41">D85</f>
        <v>2</v>
      </c>
      <c r="F85" s="242">
        <f t="shared" si="41"/>
        <v>2</v>
      </c>
      <c r="G85" s="242">
        <f t="shared" si="41"/>
        <v>2</v>
      </c>
      <c r="H85" s="242">
        <f t="shared" si="41"/>
        <v>2</v>
      </c>
      <c r="I85" s="242">
        <f t="shared" si="41"/>
        <v>2</v>
      </c>
      <c r="J85" s="242">
        <f t="shared" si="41"/>
        <v>2</v>
      </c>
      <c r="K85" s="242">
        <f t="shared" si="41"/>
        <v>2</v>
      </c>
      <c r="L85" s="242">
        <f t="shared" si="41"/>
        <v>2</v>
      </c>
      <c r="M85" s="242">
        <f t="shared" si="41"/>
        <v>2</v>
      </c>
      <c r="N85" s="243">
        <f t="shared" si="41"/>
        <v>2</v>
      </c>
    </row>
    <row r="86" spans="1:14">
      <c r="A86" s="226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9"/>
    </row>
    <row r="87" spans="1:14">
      <c r="A87" s="226"/>
      <c r="B87" s="227"/>
      <c r="C87" s="228">
        <f>(C83*100%/C61)-1</f>
        <v>0.63004498739059489</v>
      </c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9"/>
    </row>
    <row r="88" spans="1:14">
      <c r="A88" s="226"/>
      <c r="B88" s="227"/>
      <c r="C88" s="235" t="s">
        <v>55</v>
      </c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9"/>
    </row>
    <row r="89" spans="1:14">
      <c r="A89" s="226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9"/>
    </row>
    <row r="90" spans="1:14">
      <c r="A90" s="226"/>
      <c r="B90" s="227"/>
      <c r="C90" s="227" t="s">
        <v>93</v>
      </c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9"/>
    </row>
    <row r="91" spans="1:14">
      <c r="A91" s="226"/>
      <c r="B91" s="227"/>
      <c r="C91" s="227" t="s">
        <v>95</v>
      </c>
      <c r="D91" s="227">
        <v>1</v>
      </c>
      <c r="E91" s="227">
        <v>2</v>
      </c>
      <c r="F91" s="227">
        <v>3</v>
      </c>
      <c r="G91" s="227">
        <v>4</v>
      </c>
      <c r="H91" s="227"/>
      <c r="I91" s="227"/>
      <c r="J91" s="227"/>
      <c r="K91" s="227"/>
      <c r="L91" s="227"/>
      <c r="M91" s="227"/>
      <c r="N91" s="229"/>
    </row>
    <row r="92" spans="1:14">
      <c r="A92" s="226"/>
      <c r="B92" s="227"/>
      <c r="C92" s="227"/>
      <c r="D92" s="238">
        <f>SUM(C84:E84)</f>
        <v>4701753.5100000007</v>
      </c>
      <c r="E92" s="238">
        <f>SUM(F84:H84,C78:H78)</f>
        <v>5316730.5100000026</v>
      </c>
      <c r="F92" s="238">
        <f>SUM(I84:K84)</f>
        <v>4701753.5100000007</v>
      </c>
      <c r="G92" s="238">
        <f>SUM(L84:N84,C81:N81,C80:N80,C79:N79,I78:N78)</f>
        <v>7256028.9900000067</v>
      </c>
      <c r="H92" s="227"/>
      <c r="I92" s="227"/>
      <c r="J92" s="227"/>
      <c r="K92" s="227"/>
      <c r="L92" s="227"/>
      <c r="M92" s="227"/>
      <c r="N92" s="229"/>
    </row>
    <row r="93" spans="1:14">
      <c r="A93" s="226"/>
      <c r="B93" s="227"/>
      <c r="C93" s="227"/>
      <c r="D93" s="244">
        <f>D92*$C$37</f>
        <v>9403507.0200000014</v>
      </c>
      <c r="E93" s="244">
        <f t="shared" ref="E93:G93" si="42">E92*$C$37</f>
        <v>10633461.020000005</v>
      </c>
      <c r="F93" s="244">
        <f t="shared" si="42"/>
        <v>9403507.0200000014</v>
      </c>
      <c r="G93" s="244">
        <f t="shared" si="42"/>
        <v>14512057.980000013</v>
      </c>
      <c r="H93" s="227"/>
      <c r="I93" s="227"/>
      <c r="J93" s="227"/>
      <c r="K93" s="227"/>
      <c r="L93" s="227"/>
      <c r="M93" s="227"/>
      <c r="N93" s="229"/>
    </row>
    <row r="94" spans="1:14">
      <c r="A94" s="226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9"/>
    </row>
    <row r="95" spans="1:14">
      <c r="A95" s="226"/>
      <c r="B95" s="227" t="s">
        <v>96</v>
      </c>
      <c r="C95" s="245">
        <f>SUM(C63,C65:C66,C68:C69,C71,C74:C76)</f>
        <v>1567251.17</v>
      </c>
      <c r="D95" s="245">
        <f>SUM(D63,D65:D66,D68:D69,D71,D74:D76)</f>
        <v>1567251.17</v>
      </c>
      <c r="E95" s="245">
        <f>SUM(E63,E65:E66,E68:E69,E71,E74:E76)</f>
        <v>1567251.17</v>
      </c>
      <c r="F95" s="245">
        <f>SUM(F63,F65:F66,F68:F69,F71,F74:F76)</f>
        <v>1567251.17</v>
      </c>
      <c r="G95" s="245">
        <f>SUM(G63,G65:G66,G68:G69,G71,G74:G76)</f>
        <v>1567251.17</v>
      </c>
      <c r="H95" s="245">
        <f>SUM(H63,H65:H66,H68:H69,H71,H74:H76,C78:H78)</f>
        <v>2182228.1700000004</v>
      </c>
      <c r="I95" s="245">
        <f>SUM(I63,I65:I66,I68:I69,I71,I74:I76)</f>
        <v>1567251.17</v>
      </c>
      <c r="J95" s="245">
        <f t="shared" ref="J95:M95" si="43">SUM(J63,J65:J66,J68:J69,J71,J74:J76)</f>
        <v>1567251.17</v>
      </c>
      <c r="K95" s="245">
        <f t="shared" si="43"/>
        <v>1567251.17</v>
      </c>
      <c r="L95" s="245">
        <f t="shared" si="43"/>
        <v>1567251.17</v>
      </c>
      <c r="M95" s="245">
        <f t="shared" si="43"/>
        <v>1567251.17</v>
      </c>
      <c r="N95" s="246">
        <f>SUM(N63,N65:N66,N68:N69,N71,N74:N76,I78:N78,C81:N81)</f>
        <v>2743978.1700000004</v>
      </c>
    </row>
    <row r="96" spans="1:14" ht="15.75" thickBot="1">
      <c r="A96" s="247"/>
      <c r="B96" s="248" t="s">
        <v>97</v>
      </c>
      <c r="C96" s="249">
        <f>SUM(C95:N95)</f>
        <v>20598718.039999999</v>
      </c>
      <c r="D96" s="250">
        <f>C96*4</f>
        <v>82394872.159999996</v>
      </c>
      <c r="E96" s="248"/>
      <c r="F96" s="248"/>
      <c r="G96" s="248"/>
      <c r="H96" s="248"/>
      <c r="I96" s="248"/>
      <c r="J96" s="248"/>
      <c r="K96" s="248"/>
      <c r="L96" s="248"/>
      <c r="M96" s="248"/>
      <c r="N96" s="251"/>
    </row>
    <row r="97" spans="1:14">
      <c r="A97" s="252" t="s">
        <v>188</v>
      </c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4"/>
    </row>
    <row r="98" spans="1:14">
      <c r="A98" s="255"/>
      <c r="B98" s="256" t="s">
        <v>68</v>
      </c>
      <c r="C98" s="256">
        <v>1</v>
      </c>
      <c r="D98" s="257">
        <f>0.00522</f>
        <v>5.2199999999999998E-3</v>
      </c>
      <c r="E98" s="256"/>
      <c r="F98" s="256"/>
      <c r="G98" s="256"/>
      <c r="H98" s="256"/>
      <c r="I98" s="256"/>
      <c r="J98" s="256"/>
      <c r="K98" s="256"/>
      <c r="L98" s="256"/>
      <c r="M98" s="256"/>
      <c r="N98" s="258"/>
    </row>
    <row r="99" spans="1:14">
      <c r="A99" s="255"/>
      <c r="B99" s="256"/>
      <c r="C99" s="256">
        <v>2</v>
      </c>
      <c r="D99" s="257">
        <f>1.044%</f>
        <v>1.044E-2</v>
      </c>
      <c r="E99" s="256"/>
      <c r="F99" s="256"/>
      <c r="G99" s="256"/>
      <c r="H99" s="256"/>
      <c r="I99" s="256"/>
      <c r="J99" s="256"/>
      <c r="K99" s="256"/>
      <c r="L99" s="256"/>
      <c r="M99" s="256"/>
      <c r="N99" s="258"/>
    </row>
    <row r="100" spans="1:14">
      <c r="A100" s="255"/>
      <c r="B100" s="256"/>
      <c r="C100" s="256">
        <v>3</v>
      </c>
      <c r="D100" s="259">
        <v>2.436E-2</v>
      </c>
      <c r="E100" s="256"/>
      <c r="F100" s="256"/>
      <c r="G100" s="256"/>
      <c r="H100" s="256"/>
      <c r="I100" s="256"/>
      <c r="J100" s="256"/>
      <c r="K100" s="256"/>
      <c r="L100" s="256"/>
      <c r="M100" s="256"/>
      <c r="N100" s="258"/>
    </row>
    <row r="101" spans="1:14">
      <c r="A101" s="255"/>
      <c r="B101" s="256" t="s">
        <v>102</v>
      </c>
      <c r="C101" s="260">
        <v>0.06</v>
      </c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8"/>
    </row>
    <row r="102" spans="1:14">
      <c r="A102" s="255"/>
      <c r="B102" s="256" t="s">
        <v>69</v>
      </c>
      <c r="C102" s="261">
        <f>C54*(1+C101)</f>
        <v>1190910</v>
      </c>
      <c r="D102" s="261">
        <f>C102</f>
        <v>1190910</v>
      </c>
      <c r="E102" s="261">
        <f t="shared" ref="E102:N102" si="44">D102</f>
        <v>1190910</v>
      </c>
      <c r="F102" s="261">
        <f t="shared" si="44"/>
        <v>1190910</v>
      </c>
      <c r="G102" s="261">
        <f t="shared" si="44"/>
        <v>1190910</v>
      </c>
      <c r="H102" s="261">
        <f t="shared" si="44"/>
        <v>1190910</v>
      </c>
      <c r="I102" s="261">
        <f t="shared" si="44"/>
        <v>1190910</v>
      </c>
      <c r="J102" s="261">
        <f t="shared" si="44"/>
        <v>1190910</v>
      </c>
      <c r="K102" s="261">
        <f t="shared" si="44"/>
        <v>1190910</v>
      </c>
      <c r="L102" s="261">
        <f t="shared" si="44"/>
        <v>1190910</v>
      </c>
      <c r="M102" s="261">
        <f t="shared" si="44"/>
        <v>1190910</v>
      </c>
      <c r="N102" s="262">
        <f t="shared" si="44"/>
        <v>1190910</v>
      </c>
    </row>
    <row r="103" spans="1:14">
      <c r="A103" s="255"/>
      <c r="B103" s="256" t="s">
        <v>70</v>
      </c>
      <c r="C103" s="261">
        <f>IF(C102&lt;2*908526*(1+$C$101),106454*(1+$C$101),0)</f>
        <v>112841.24</v>
      </c>
      <c r="D103" s="261">
        <f t="shared" ref="D103:N103" si="45">IF(D102&lt;2*908526*(1+$C$101),106454*(1+$C$101),0)</f>
        <v>112841.24</v>
      </c>
      <c r="E103" s="261">
        <f t="shared" si="45"/>
        <v>112841.24</v>
      </c>
      <c r="F103" s="261">
        <f t="shared" si="45"/>
        <v>112841.24</v>
      </c>
      <c r="G103" s="261">
        <f t="shared" si="45"/>
        <v>112841.24</v>
      </c>
      <c r="H103" s="261">
        <f t="shared" si="45"/>
        <v>112841.24</v>
      </c>
      <c r="I103" s="261">
        <f t="shared" si="45"/>
        <v>112841.24</v>
      </c>
      <c r="J103" s="261">
        <f t="shared" si="45"/>
        <v>112841.24</v>
      </c>
      <c r="K103" s="261">
        <f t="shared" si="45"/>
        <v>112841.24</v>
      </c>
      <c r="L103" s="261">
        <f t="shared" si="45"/>
        <v>112841.24</v>
      </c>
      <c r="M103" s="261">
        <f t="shared" si="45"/>
        <v>112841.24</v>
      </c>
      <c r="N103" s="261">
        <f t="shared" si="45"/>
        <v>112841.24</v>
      </c>
    </row>
    <row r="104" spans="1:14">
      <c r="A104" s="263"/>
      <c r="B104" s="256" t="s">
        <v>71</v>
      </c>
      <c r="C104" s="264">
        <v>0</v>
      </c>
      <c r="D104" s="264">
        <v>0</v>
      </c>
      <c r="E104" s="264">
        <v>0</v>
      </c>
      <c r="F104" s="264">
        <v>0</v>
      </c>
      <c r="G104" s="264">
        <v>0</v>
      </c>
      <c r="H104" s="264">
        <v>0</v>
      </c>
      <c r="I104" s="264">
        <v>0</v>
      </c>
      <c r="J104" s="264">
        <v>0</v>
      </c>
      <c r="K104" s="264">
        <v>0</v>
      </c>
      <c r="L104" s="264">
        <v>0</v>
      </c>
      <c r="M104" s="264">
        <v>0</v>
      </c>
      <c r="N104" s="265">
        <v>0</v>
      </c>
    </row>
    <row r="105" spans="1:14">
      <c r="A105" s="255"/>
      <c r="B105" s="256" t="s">
        <v>72</v>
      </c>
      <c r="C105" s="266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5"/>
    </row>
    <row r="106" spans="1:14">
      <c r="A106" s="255"/>
      <c r="B106" s="256" t="s">
        <v>73</v>
      </c>
      <c r="C106" s="266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5"/>
    </row>
    <row r="107" spans="1:14">
      <c r="A107" s="255"/>
      <c r="B107" s="256"/>
      <c r="C107" s="266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5"/>
    </row>
    <row r="108" spans="1:14">
      <c r="A108" s="406" t="s">
        <v>74</v>
      </c>
      <c r="B108" s="256" t="s">
        <v>75</v>
      </c>
      <c r="C108" s="261">
        <f t="shared" ref="C108:E108" si="46">SUM(C102:C106)</f>
        <v>1303751.24</v>
      </c>
      <c r="D108" s="264">
        <f t="shared" si="46"/>
        <v>1303751.24</v>
      </c>
      <c r="E108" s="264">
        <f t="shared" si="46"/>
        <v>1303751.24</v>
      </c>
      <c r="F108" s="264">
        <f>SUM(F102:F106)</f>
        <v>1303751.24</v>
      </c>
      <c r="G108" s="264">
        <f t="shared" ref="G108:N108" si="47">SUM(G102:G106)</f>
        <v>1303751.24</v>
      </c>
      <c r="H108" s="264">
        <f t="shared" si="47"/>
        <v>1303751.24</v>
      </c>
      <c r="I108" s="264">
        <f t="shared" si="47"/>
        <v>1303751.24</v>
      </c>
      <c r="J108" s="264">
        <f t="shared" si="47"/>
        <v>1303751.24</v>
      </c>
      <c r="K108" s="264">
        <f t="shared" si="47"/>
        <v>1303751.24</v>
      </c>
      <c r="L108" s="264">
        <f t="shared" si="47"/>
        <v>1303751.24</v>
      </c>
      <c r="M108" s="264">
        <f t="shared" si="47"/>
        <v>1303751.24</v>
      </c>
      <c r="N108" s="265">
        <f t="shared" si="47"/>
        <v>1303751.24</v>
      </c>
    </row>
    <row r="109" spans="1:14">
      <c r="A109" s="406"/>
      <c r="B109" s="256" t="s">
        <v>76</v>
      </c>
      <c r="C109" s="261">
        <f t="shared" ref="C109:N109" si="48">C108-C103</f>
        <v>1190910</v>
      </c>
      <c r="D109" s="267">
        <f t="shared" si="48"/>
        <v>1190910</v>
      </c>
      <c r="E109" s="267">
        <f t="shared" si="48"/>
        <v>1190910</v>
      </c>
      <c r="F109" s="267">
        <f t="shared" si="48"/>
        <v>1190910</v>
      </c>
      <c r="G109" s="267">
        <f t="shared" si="48"/>
        <v>1190910</v>
      </c>
      <c r="H109" s="267">
        <f t="shared" si="48"/>
        <v>1190910</v>
      </c>
      <c r="I109" s="267">
        <f t="shared" si="48"/>
        <v>1190910</v>
      </c>
      <c r="J109" s="267">
        <f t="shared" si="48"/>
        <v>1190910</v>
      </c>
      <c r="K109" s="267">
        <f t="shared" si="48"/>
        <v>1190910</v>
      </c>
      <c r="L109" s="267">
        <f t="shared" si="48"/>
        <v>1190910</v>
      </c>
      <c r="M109" s="267">
        <f t="shared" si="48"/>
        <v>1190910</v>
      </c>
      <c r="N109" s="268">
        <f t="shared" si="48"/>
        <v>1190910</v>
      </c>
    </row>
    <row r="110" spans="1:14">
      <c r="A110" s="255"/>
      <c r="B110" s="256"/>
      <c r="C110" s="261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8"/>
    </row>
    <row r="111" spans="1:14">
      <c r="A111" s="255"/>
      <c r="B111" s="256" t="s">
        <v>77</v>
      </c>
      <c r="C111" s="261">
        <f t="shared" ref="C111:N111" si="49">C108-C113-C116</f>
        <v>1208478.4400000002</v>
      </c>
      <c r="D111" s="267">
        <f t="shared" si="49"/>
        <v>1208478.4400000002</v>
      </c>
      <c r="E111" s="267">
        <f t="shared" si="49"/>
        <v>1208478.4400000002</v>
      </c>
      <c r="F111" s="267">
        <f t="shared" si="49"/>
        <v>1208478.4400000002</v>
      </c>
      <c r="G111" s="267">
        <f t="shared" si="49"/>
        <v>1208478.4400000002</v>
      </c>
      <c r="H111" s="267">
        <f t="shared" si="49"/>
        <v>1208478.4400000002</v>
      </c>
      <c r="I111" s="267">
        <f t="shared" si="49"/>
        <v>1208478.4400000002</v>
      </c>
      <c r="J111" s="267">
        <f t="shared" si="49"/>
        <v>1208478.4400000002</v>
      </c>
      <c r="K111" s="267">
        <f t="shared" si="49"/>
        <v>1208478.4400000002</v>
      </c>
      <c r="L111" s="267">
        <f t="shared" si="49"/>
        <v>1208478.4400000002</v>
      </c>
      <c r="M111" s="267">
        <f t="shared" si="49"/>
        <v>1208478.4400000002</v>
      </c>
      <c r="N111" s="268">
        <f t="shared" si="49"/>
        <v>1208478.4400000002</v>
      </c>
    </row>
    <row r="112" spans="1:14">
      <c r="A112" s="255"/>
      <c r="B112" s="256"/>
      <c r="C112" s="261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8"/>
    </row>
    <row r="113" spans="1:14">
      <c r="A113" s="404" t="s">
        <v>78</v>
      </c>
      <c r="B113" s="269" t="s">
        <v>79</v>
      </c>
      <c r="C113" s="261">
        <f t="shared" ref="C113:N113" si="50">C109*4%</f>
        <v>47636.4</v>
      </c>
      <c r="D113" s="267">
        <f t="shared" si="50"/>
        <v>47636.4</v>
      </c>
      <c r="E113" s="267">
        <f t="shared" si="50"/>
        <v>47636.4</v>
      </c>
      <c r="F113" s="267">
        <f t="shared" si="50"/>
        <v>47636.4</v>
      </c>
      <c r="G113" s="267">
        <f t="shared" si="50"/>
        <v>47636.4</v>
      </c>
      <c r="H113" s="267">
        <f t="shared" si="50"/>
        <v>47636.4</v>
      </c>
      <c r="I113" s="267">
        <f t="shared" si="50"/>
        <v>47636.4</v>
      </c>
      <c r="J113" s="267">
        <f t="shared" si="50"/>
        <v>47636.4</v>
      </c>
      <c r="K113" s="267">
        <f t="shared" si="50"/>
        <v>47636.4</v>
      </c>
      <c r="L113" s="267">
        <f t="shared" si="50"/>
        <v>47636.4</v>
      </c>
      <c r="M113" s="267">
        <f t="shared" si="50"/>
        <v>47636.4</v>
      </c>
      <c r="N113" s="268">
        <f t="shared" si="50"/>
        <v>47636.4</v>
      </c>
    </row>
    <row r="114" spans="1:14">
      <c r="A114" s="404"/>
      <c r="B114" s="269" t="s">
        <v>80</v>
      </c>
      <c r="C114" s="261">
        <f t="shared" ref="C114:N114" si="51">C109*8.5%</f>
        <v>101227.35</v>
      </c>
      <c r="D114" s="267">
        <f t="shared" si="51"/>
        <v>101227.35</v>
      </c>
      <c r="E114" s="267">
        <f t="shared" si="51"/>
        <v>101227.35</v>
      </c>
      <c r="F114" s="267">
        <f t="shared" si="51"/>
        <v>101227.35</v>
      </c>
      <c r="G114" s="267">
        <f t="shared" si="51"/>
        <v>101227.35</v>
      </c>
      <c r="H114" s="267">
        <f t="shared" si="51"/>
        <v>101227.35</v>
      </c>
      <c r="I114" s="267">
        <f t="shared" si="51"/>
        <v>101227.35</v>
      </c>
      <c r="J114" s="267">
        <f t="shared" si="51"/>
        <v>101227.35</v>
      </c>
      <c r="K114" s="267">
        <f t="shared" si="51"/>
        <v>101227.35</v>
      </c>
      <c r="L114" s="267">
        <f t="shared" si="51"/>
        <v>101227.35</v>
      </c>
      <c r="M114" s="267">
        <f t="shared" si="51"/>
        <v>101227.35</v>
      </c>
      <c r="N114" s="268">
        <f t="shared" si="51"/>
        <v>101227.35</v>
      </c>
    </row>
    <row r="115" spans="1:14">
      <c r="A115" s="255"/>
      <c r="B115" s="269"/>
      <c r="C115" s="261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8"/>
    </row>
    <row r="116" spans="1:14">
      <c r="A116" s="404" t="s">
        <v>81</v>
      </c>
      <c r="B116" s="269" t="s">
        <v>82</v>
      </c>
      <c r="C116" s="261">
        <f t="shared" ref="C116:N116" si="52">C109*4%</f>
        <v>47636.4</v>
      </c>
      <c r="D116" s="267">
        <f t="shared" si="52"/>
        <v>47636.4</v>
      </c>
      <c r="E116" s="267">
        <f t="shared" si="52"/>
        <v>47636.4</v>
      </c>
      <c r="F116" s="267">
        <f t="shared" si="52"/>
        <v>47636.4</v>
      </c>
      <c r="G116" s="267">
        <f t="shared" si="52"/>
        <v>47636.4</v>
      </c>
      <c r="H116" s="267">
        <f t="shared" si="52"/>
        <v>47636.4</v>
      </c>
      <c r="I116" s="267">
        <f t="shared" si="52"/>
        <v>47636.4</v>
      </c>
      <c r="J116" s="267">
        <f t="shared" si="52"/>
        <v>47636.4</v>
      </c>
      <c r="K116" s="267">
        <f t="shared" si="52"/>
        <v>47636.4</v>
      </c>
      <c r="L116" s="267">
        <f t="shared" si="52"/>
        <v>47636.4</v>
      </c>
      <c r="M116" s="267">
        <f t="shared" si="52"/>
        <v>47636.4</v>
      </c>
      <c r="N116" s="268">
        <f t="shared" si="52"/>
        <v>47636.4</v>
      </c>
    </row>
    <row r="117" spans="1:14">
      <c r="A117" s="404"/>
      <c r="B117" s="269" t="s">
        <v>80</v>
      </c>
      <c r="C117" s="261">
        <f t="shared" ref="C117:N117" si="53">C109*12%</f>
        <v>142909.19999999998</v>
      </c>
      <c r="D117" s="267">
        <f t="shared" si="53"/>
        <v>142909.19999999998</v>
      </c>
      <c r="E117" s="267">
        <f t="shared" si="53"/>
        <v>142909.19999999998</v>
      </c>
      <c r="F117" s="267">
        <f t="shared" si="53"/>
        <v>142909.19999999998</v>
      </c>
      <c r="G117" s="267">
        <f t="shared" si="53"/>
        <v>142909.19999999998</v>
      </c>
      <c r="H117" s="267">
        <f t="shared" si="53"/>
        <v>142909.19999999998</v>
      </c>
      <c r="I117" s="267">
        <f t="shared" si="53"/>
        <v>142909.19999999998</v>
      </c>
      <c r="J117" s="267">
        <f t="shared" si="53"/>
        <v>142909.19999999998</v>
      </c>
      <c r="K117" s="267">
        <f t="shared" si="53"/>
        <v>142909.19999999998</v>
      </c>
      <c r="L117" s="267">
        <f t="shared" si="53"/>
        <v>142909.19999999998</v>
      </c>
      <c r="M117" s="267">
        <f t="shared" si="53"/>
        <v>142909.19999999998</v>
      </c>
      <c r="N117" s="268">
        <f t="shared" si="53"/>
        <v>142909.19999999998</v>
      </c>
    </row>
    <row r="118" spans="1:14">
      <c r="A118" s="255"/>
      <c r="B118" s="269"/>
      <c r="C118" s="261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8"/>
    </row>
    <row r="119" spans="1:14">
      <c r="A119" s="255" t="s">
        <v>83</v>
      </c>
      <c r="B119" s="270">
        <v>1</v>
      </c>
      <c r="C119" s="261">
        <f>IF(B119=C98,D98*C109,IF(B119=C99,D99*C109,IF(B119=C100,D100*C109,0)))</f>
        <v>6216.5501999999997</v>
      </c>
      <c r="D119" s="267">
        <f>IF(B119=C98,D98*C109,IF(B119=C99,D99*C109,IF(B119=C100,D100*C109,0)))</f>
        <v>6216.5501999999997</v>
      </c>
      <c r="E119" s="267">
        <f>IF(B119=C98,D98*C109,IF(B119=C99,D99*C109,IF(B119=C100,D100*C109,0)))</f>
        <v>6216.5501999999997</v>
      </c>
      <c r="F119" s="267">
        <f>IF(B119=C98,D98*C109,IF(B119=C99,D99*C109,IF(B119=C100,D100*C109,0)))</f>
        <v>6216.5501999999997</v>
      </c>
      <c r="G119" s="267">
        <f>IF(B119=C98,D98*C109,IF(B119=C99,D99*C109,IF(B119=C100,D100*C109,0)))</f>
        <v>6216.5501999999997</v>
      </c>
      <c r="H119" s="267">
        <f>IF(B119=C98,D98*C109,IF(B119=C99,D99*C109,IF(B119=C100,D100*C109,0)))</f>
        <v>6216.5501999999997</v>
      </c>
      <c r="I119" s="267">
        <f>IF(B119=C98,D98*C109,IF(B119=C99,D99*C109,IF(B119=C100,D100*C109,0)))</f>
        <v>6216.5501999999997</v>
      </c>
      <c r="J119" s="267">
        <f>IF(B119=C98,D98*C109,IF(B119=C99,D99*C109,IF(B119=C100,D100*C109,0)))</f>
        <v>6216.5501999999997</v>
      </c>
      <c r="K119" s="267">
        <f>IF(B119=C98,D98*C109,IF(B119=C99,D99*C109,IF(B119=C100,D100*C109,0)))</f>
        <v>6216.5501999999997</v>
      </c>
      <c r="L119" s="267">
        <f>IF(B119=C98,D98*C109,IF(B119=C99,D99*C109,IF(B119=C100,D100*C109,0)))</f>
        <v>6216.5501999999997</v>
      </c>
      <c r="M119" s="267">
        <f>IF(B119=C98,D98*C109,IF(B119=C99,D99*C109,IF(B119=C100,D100*C109,0)))</f>
        <v>6216.5501999999997</v>
      </c>
      <c r="N119" s="268">
        <f>IF(B119=C98,D98*C109,IF(B119=C99,D99*C109,IF(B119=C100,D100*C109,0)))</f>
        <v>6216.5501999999997</v>
      </c>
    </row>
    <row r="120" spans="1:14">
      <c r="A120" s="255"/>
      <c r="B120" s="269"/>
      <c r="C120" s="261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8"/>
    </row>
    <row r="121" spans="1:14">
      <c r="A121" s="255"/>
      <c r="B121" s="269"/>
      <c r="C121" s="261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8"/>
    </row>
    <row r="122" spans="1:14">
      <c r="A122" s="404" t="s">
        <v>84</v>
      </c>
      <c r="B122" s="269" t="s">
        <v>85</v>
      </c>
      <c r="C122" s="261">
        <f t="shared" ref="C122:N122" si="54">2%*C109</f>
        <v>23818.2</v>
      </c>
      <c r="D122" s="267">
        <f t="shared" si="54"/>
        <v>23818.2</v>
      </c>
      <c r="E122" s="267">
        <f t="shared" si="54"/>
        <v>23818.2</v>
      </c>
      <c r="F122" s="267">
        <f t="shared" si="54"/>
        <v>23818.2</v>
      </c>
      <c r="G122" s="267">
        <f t="shared" si="54"/>
        <v>23818.2</v>
      </c>
      <c r="H122" s="267">
        <f t="shared" si="54"/>
        <v>23818.2</v>
      </c>
      <c r="I122" s="267">
        <f t="shared" si="54"/>
        <v>23818.2</v>
      </c>
      <c r="J122" s="267">
        <f t="shared" si="54"/>
        <v>23818.2</v>
      </c>
      <c r="K122" s="267">
        <f t="shared" si="54"/>
        <v>23818.2</v>
      </c>
      <c r="L122" s="267">
        <f t="shared" si="54"/>
        <v>23818.2</v>
      </c>
      <c r="M122" s="267">
        <f t="shared" si="54"/>
        <v>23818.2</v>
      </c>
      <c r="N122" s="268">
        <f t="shared" si="54"/>
        <v>23818.2</v>
      </c>
    </row>
    <row r="123" spans="1:14">
      <c r="A123" s="404"/>
      <c r="B123" s="269" t="s">
        <v>86</v>
      </c>
      <c r="C123" s="261">
        <f t="shared" ref="C123:N123" si="55">C109*3%</f>
        <v>35727.299999999996</v>
      </c>
      <c r="D123" s="267">
        <f t="shared" si="55"/>
        <v>35727.299999999996</v>
      </c>
      <c r="E123" s="267">
        <f t="shared" si="55"/>
        <v>35727.299999999996</v>
      </c>
      <c r="F123" s="267">
        <f t="shared" si="55"/>
        <v>35727.299999999996</v>
      </c>
      <c r="G123" s="267">
        <f t="shared" si="55"/>
        <v>35727.299999999996</v>
      </c>
      <c r="H123" s="267">
        <f t="shared" si="55"/>
        <v>35727.299999999996</v>
      </c>
      <c r="I123" s="267">
        <f t="shared" si="55"/>
        <v>35727.299999999996</v>
      </c>
      <c r="J123" s="267">
        <f t="shared" si="55"/>
        <v>35727.299999999996</v>
      </c>
      <c r="K123" s="267">
        <f t="shared" si="55"/>
        <v>35727.299999999996</v>
      </c>
      <c r="L123" s="267">
        <f t="shared" si="55"/>
        <v>35727.299999999996</v>
      </c>
      <c r="M123" s="267">
        <f t="shared" si="55"/>
        <v>35727.299999999996</v>
      </c>
      <c r="N123" s="268">
        <f t="shared" si="55"/>
        <v>35727.299999999996</v>
      </c>
    </row>
    <row r="124" spans="1:14">
      <c r="A124" s="404"/>
      <c r="B124" s="269" t="s">
        <v>87</v>
      </c>
      <c r="C124" s="261">
        <f t="shared" ref="C124:N124" si="56">C109*4%</f>
        <v>47636.4</v>
      </c>
      <c r="D124" s="267">
        <f t="shared" si="56"/>
        <v>47636.4</v>
      </c>
      <c r="E124" s="267">
        <f t="shared" si="56"/>
        <v>47636.4</v>
      </c>
      <c r="F124" s="267">
        <f t="shared" si="56"/>
        <v>47636.4</v>
      </c>
      <c r="G124" s="267">
        <f t="shared" si="56"/>
        <v>47636.4</v>
      </c>
      <c r="H124" s="267">
        <f t="shared" si="56"/>
        <v>47636.4</v>
      </c>
      <c r="I124" s="267">
        <f t="shared" si="56"/>
        <v>47636.4</v>
      </c>
      <c r="J124" s="267">
        <f t="shared" si="56"/>
        <v>47636.4</v>
      </c>
      <c r="K124" s="267">
        <f t="shared" si="56"/>
        <v>47636.4</v>
      </c>
      <c r="L124" s="267">
        <f t="shared" si="56"/>
        <v>47636.4</v>
      </c>
      <c r="M124" s="267">
        <f t="shared" si="56"/>
        <v>47636.4</v>
      </c>
      <c r="N124" s="268">
        <f t="shared" si="56"/>
        <v>47636.4</v>
      </c>
    </row>
    <row r="125" spans="1:14">
      <c r="A125" s="255"/>
      <c r="B125" s="269"/>
      <c r="C125" s="261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8"/>
    </row>
    <row r="126" spans="1:14">
      <c r="A126" s="255"/>
      <c r="B126" s="269" t="s">
        <v>88</v>
      </c>
      <c r="C126" s="261">
        <f t="shared" ref="C126:D126" si="57">C108*(25/3)%</f>
        <v>108645.93666666668</v>
      </c>
      <c r="D126" s="267">
        <f t="shared" si="57"/>
        <v>108645.93666666668</v>
      </c>
      <c r="E126" s="267">
        <f>E108*(25/3)%</f>
        <v>108645.93666666668</v>
      </c>
      <c r="F126" s="267">
        <f t="shared" ref="F126:N126" si="58">F108*(25/3)%</f>
        <v>108645.93666666668</v>
      </c>
      <c r="G126" s="267">
        <f t="shared" si="58"/>
        <v>108645.93666666668</v>
      </c>
      <c r="H126" s="267">
        <f t="shared" si="58"/>
        <v>108645.93666666668</v>
      </c>
      <c r="I126" s="267">
        <f t="shared" si="58"/>
        <v>108645.93666666668</v>
      </c>
      <c r="J126" s="267">
        <f t="shared" si="58"/>
        <v>108645.93666666668</v>
      </c>
      <c r="K126" s="267">
        <f t="shared" si="58"/>
        <v>108645.93666666668</v>
      </c>
      <c r="L126" s="267">
        <f t="shared" si="58"/>
        <v>108645.93666666668</v>
      </c>
      <c r="M126" s="267">
        <f t="shared" si="58"/>
        <v>108645.93666666668</v>
      </c>
      <c r="N126" s="268">
        <f t="shared" si="58"/>
        <v>108645.93666666668</v>
      </c>
    </row>
    <row r="127" spans="1:14">
      <c r="A127" s="255"/>
      <c r="B127" s="269" t="s">
        <v>89</v>
      </c>
      <c r="C127" s="261">
        <f t="shared" ref="C127:N127" si="59">C108*(25/3)%</f>
        <v>108645.93666666668</v>
      </c>
      <c r="D127" s="267">
        <f t="shared" si="59"/>
        <v>108645.93666666668</v>
      </c>
      <c r="E127" s="267">
        <f t="shared" si="59"/>
        <v>108645.93666666668</v>
      </c>
      <c r="F127" s="267">
        <f t="shared" si="59"/>
        <v>108645.93666666668</v>
      </c>
      <c r="G127" s="267">
        <f t="shared" si="59"/>
        <v>108645.93666666668</v>
      </c>
      <c r="H127" s="267">
        <f t="shared" si="59"/>
        <v>108645.93666666668</v>
      </c>
      <c r="I127" s="267">
        <f t="shared" si="59"/>
        <v>108645.93666666668</v>
      </c>
      <c r="J127" s="267">
        <f t="shared" si="59"/>
        <v>108645.93666666668</v>
      </c>
      <c r="K127" s="267">
        <f t="shared" si="59"/>
        <v>108645.93666666668</v>
      </c>
      <c r="L127" s="267">
        <f t="shared" si="59"/>
        <v>108645.93666666668</v>
      </c>
      <c r="M127" s="267">
        <f t="shared" si="59"/>
        <v>108645.93666666668</v>
      </c>
      <c r="N127" s="268">
        <f t="shared" si="59"/>
        <v>108645.93666666668</v>
      </c>
    </row>
    <row r="128" spans="1:14">
      <c r="A128" s="255"/>
      <c r="B128" s="269" t="s">
        <v>90</v>
      </c>
      <c r="C128" s="261">
        <f t="shared" ref="C128:N128" si="60">C127*12%</f>
        <v>13037.512400000001</v>
      </c>
      <c r="D128" s="267">
        <f t="shared" si="60"/>
        <v>13037.512400000001</v>
      </c>
      <c r="E128" s="267">
        <f t="shared" si="60"/>
        <v>13037.512400000001</v>
      </c>
      <c r="F128" s="267">
        <f t="shared" si="60"/>
        <v>13037.512400000001</v>
      </c>
      <c r="G128" s="267">
        <f t="shared" si="60"/>
        <v>13037.512400000001</v>
      </c>
      <c r="H128" s="267">
        <f t="shared" si="60"/>
        <v>13037.512400000001</v>
      </c>
      <c r="I128" s="267">
        <f t="shared" si="60"/>
        <v>13037.512400000001</v>
      </c>
      <c r="J128" s="267">
        <f t="shared" si="60"/>
        <v>13037.512400000001</v>
      </c>
      <c r="K128" s="267">
        <f t="shared" si="60"/>
        <v>13037.512400000001</v>
      </c>
      <c r="L128" s="267">
        <f t="shared" si="60"/>
        <v>13037.512400000001</v>
      </c>
      <c r="M128" s="267">
        <f t="shared" si="60"/>
        <v>13037.512400000001</v>
      </c>
      <c r="N128" s="268">
        <f t="shared" si="60"/>
        <v>13037.512400000001</v>
      </c>
    </row>
    <row r="129" spans="1:14">
      <c r="A129" s="255"/>
      <c r="B129" s="269" t="s">
        <v>91</v>
      </c>
      <c r="C129" s="261">
        <f t="shared" ref="C129:N129" si="61">C102*(25/6)%</f>
        <v>49621.250000000007</v>
      </c>
      <c r="D129" s="267">
        <f t="shared" si="61"/>
        <v>49621.250000000007</v>
      </c>
      <c r="E129" s="267">
        <f t="shared" si="61"/>
        <v>49621.250000000007</v>
      </c>
      <c r="F129" s="267">
        <f t="shared" si="61"/>
        <v>49621.250000000007</v>
      </c>
      <c r="G129" s="267">
        <f t="shared" si="61"/>
        <v>49621.250000000007</v>
      </c>
      <c r="H129" s="267">
        <f t="shared" si="61"/>
        <v>49621.250000000007</v>
      </c>
      <c r="I129" s="267">
        <f t="shared" si="61"/>
        <v>49621.250000000007</v>
      </c>
      <c r="J129" s="267">
        <f t="shared" si="61"/>
        <v>49621.250000000007</v>
      </c>
      <c r="K129" s="267">
        <f t="shared" si="61"/>
        <v>49621.250000000007</v>
      </c>
      <c r="L129" s="267">
        <f t="shared" si="61"/>
        <v>49621.250000000007</v>
      </c>
      <c r="M129" s="267">
        <f t="shared" si="61"/>
        <v>49621.250000000007</v>
      </c>
      <c r="N129" s="268">
        <f t="shared" si="61"/>
        <v>49621.250000000007</v>
      </c>
    </row>
    <row r="130" spans="1:14">
      <c r="A130" s="255"/>
      <c r="B130" s="256"/>
      <c r="C130" s="261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8"/>
    </row>
    <row r="131" spans="1:14">
      <c r="A131" s="255"/>
      <c r="B131" s="256" t="s">
        <v>92</v>
      </c>
      <c r="C131" s="261">
        <f t="shared" ref="C131:N131" si="62">SUM(C111,C113:C129)</f>
        <v>1941236.8759333333</v>
      </c>
      <c r="D131" s="267">
        <f t="shared" si="62"/>
        <v>1941236.8759333333</v>
      </c>
      <c r="E131" s="267">
        <f t="shared" si="62"/>
        <v>1941236.8759333333</v>
      </c>
      <c r="F131" s="267">
        <f t="shared" si="62"/>
        <v>1941236.8759333333</v>
      </c>
      <c r="G131" s="267">
        <f t="shared" si="62"/>
        <v>1941236.8759333333</v>
      </c>
      <c r="H131" s="267">
        <f t="shared" si="62"/>
        <v>1941236.8759333333</v>
      </c>
      <c r="I131" s="267">
        <f t="shared" si="62"/>
        <v>1941236.8759333333</v>
      </c>
      <c r="J131" s="267">
        <f t="shared" si="62"/>
        <v>1941236.8759333333</v>
      </c>
      <c r="K131" s="267">
        <f t="shared" si="62"/>
        <v>1941236.8759333333</v>
      </c>
      <c r="L131" s="267">
        <f t="shared" si="62"/>
        <v>1941236.8759333333</v>
      </c>
      <c r="M131" s="267">
        <f t="shared" si="62"/>
        <v>1941236.8759333333</v>
      </c>
      <c r="N131" s="268">
        <f t="shared" si="62"/>
        <v>1941236.8759333333</v>
      </c>
    </row>
    <row r="132" spans="1:14">
      <c r="A132" s="255"/>
      <c r="B132" s="256" t="s">
        <v>93</v>
      </c>
      <c r="C132" s="261">
        <f>C131-SUM(C126:C129)</f>
        <v>1661286.2401999999</v>
      </c>
      <c r="D132" s="267">
        <f t="shared" ref="D132:N132" si="63">D131-SUM(D126:D129)</f>
        <v>1661286.2401999999</v>
      </c>
      <c r="E132" s="267">
        <f t="shared" si="63"/>
        <v>1661286.2401999999</v>
      </c>
      <c r="F132" s="267">
        <f t="shared" si="63"/>
        <v>1661286.2401999999</v>
      </c>
      <c r="G132" s="267">
        <f t="shared" si="63"/>
        <v>1661286.2401999999</v>
      </c>
      <c r="H132" s="267">
        <f t="shared" si="63"/>
        <v>1661286.2401999999</v>
      </c>
      <c r="I132" s="267">
        <f t="shared" si="63"/>
        <v>1661286.2401999999</v>
      </c>
      <c r="J132" s="267">
        <f t="shared" si="63"/>
        <v>1661286.2401999999</v>
      </c>
      <c r="K132" s="267">
        <f t="shared" si="63"/>
        <v>1661286.2401999999</v>
      </c>
      <c r="L132" s="267">
        <f t="shared" si="63"/>
        <v>1661286.2401999999</v>
      </c>
      <c r="M132" s="267">
        <f t="shared" si="63"/>
        <v>1661286.2401999999</v>
      </c>
      <c r="N132" s="268">
        <f t="shared" si="63"/>
        <v>1661286.2401999999</v>
      </c>
    </row>
    <row r="133" spans="1:14">
      <c r="A133" s="255"/>
      <c r="B133" s="256" t="s">
        <v>94</v>
      </c>
      <c r="C133" s="271">
        <v>2</v>
      </c>
      <c r="D133" s="271">
        <f>C133</f>
        <v>2</v>
      </c>
      <c r="E133" s="271">
        <f t="shared" ref="E133:N133" si="64">D133</f>
        <v>2</v>
      </c>
      <c r="F133" s="271">
        <f t="shared" si="64"/>
        <v>2</v>
      </c>
      <c r="G133" s="271">
        <f t="shared" si="64"/>
        <v>2</v>
      </c>
      <c r="H133" s="271">
        <f t="shared" si="64"/>
        <v>2</v>
      </c>
      <c r="I133" s="271">
        <f t="shared" si="64"/>
        <v>2</v>
      </c>
      <c r="J133" s="271">
        <f t="shared" si="64"/>
        <v>2</v>
      </c>
      <c r="K133" s="271">
        <f t="shared" si="64"/>
        <v>2</v>
      </c>
      <c r="L133" s="271">
        <f t="shared" si="64"/>
        <v>2</v>
      </c>
      <c r="M133" s="271">
        <f t="shared" si="64"/>
        <v>2</v>
      </c>
      <c r="N133" s="272">
        <f t="shared" si="64"/>
        <v>2</v>
      </c>
    </row>
    <row r="134" spans="1:14">
      <c r="A134" s="255"/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8"/>
    </row>
    <row r="135" spans="1:14">
      <c r="A135" s="255"/>
      <c r="B135" s="256"/>
      <c r="C135" s="257">
        <f>(C131*100%/C109)-1</f>
        <v>0.63004498739059489</v>
      </c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8"/>
    </row>
    <row r="136" spans="1:14">
      <c r="A136" s="255"/>
      <c r="B136" s="256"/>
      <c r="C136" s="264" t="s">
        <v>55</v>
      </c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8"/>
    </row>
    <row r="137" spans="1:14">
      <c r="A137" s="255"/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8"/>
    </row>
    <row r="138" spans="1:14">
      <c r="A138" s="255"/>
      <c r="B138" s="256"/>
      <c r="C138" s="256" t="s">
        <v>93</v>
      </c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8"/>
    </row>
    <row r="139" spans="1:14">
      <c r="A139" s="255"/>
      <c r="B139" s="256"/>
      <c r="C139" s="256" t="s">
        <v>95</v>
      </c>
      <c r="D139" s="256">
        <v>1</v>
      </c>
      <c r="E139" s="256">
        <v>2</v>
      </c>
      <c r="F139" s="256">
        <v>3</v>
      </c>
      <c r="G139" s="256">
        <v>4</v>
      </c>
      <c r="H139" s="256"/>
      <c r="I139" s="256"/>
      <c r="J139" s="256"/>
      <c r="K139" s="256"/>
      <c r="L139" s="256"/>
      <c r="M139" s="256"/>
      <c r="N139" s="258"/>
    </row>
    <row r="140" spans="1:14">
      <c r="A140" s="255"/>
      <c r="B140" s="256"/>
      <c r="C140" s="256"/>
      <c r="D140" s="267">
        <f>SUM(C132:E132)</f>
        <v>4983858.7205999997</v>
      </c>
      <c r="E140" s="267">
        <f>SUM(F132:H132,C126:H126)</f>
        <v>5635734.3405999988</v>
      </c>
      <c r="F140" s="267">
        <f>SUM(I132:K132)</f>
        <v>4983858.7205999997</v>
      </c>
      <c r="G140" s="267">
        <f>SUM(L132:N132,C129:N129,C128:N128,C127:N127,I126:N126)</f>
        <v>7691390.7294000015</v>
      </c>
      <c r="H140" s="256"/>
      <c r="I140" s="256"/>
      <c r="J140" s="256"/>
      <c r="K140" s="256"/>
      <c r="L140" s="256"/>
      <c r="M140" s="256"/>
      <c r="N140" s="258"/>
    </row>
    <row r="141" spans="1:14">
      <c r="A141" s="255"/>
      <c r="B141" s="256"/>
      <c r="C141" s="256"/>
      <c r="D141" s="273">
        <f>D140*$C$37</f>
        <v>9967717.4411999993</v>
      </c>
      <c r="E141" s="273">
        <f t="shared" ref="E141:G141" si="65">E140*$C$37</f>
        <v>11271468.681199998</v>
      </c>
      <c r="F141" s="273">
        <f t="shared" si="65"/>
        <v>9967717.4411999993</v>
      </c>
      <c r="G141" s="273">
        <f t="shared" si="65"/>
        <v>15382781.458800003</v>
      </c>
      <c r="H141" s="256"/>
      <c r="I141" s="256"/>
      <c r="J141" s="256"/>
      <c r="K141" s="256"/>
      <c r="L141" s="256"/>
      <c r="M141" s="256"/>
      <c r="N141" s="258"/>
    </row>
    <row r="142" spans="1:14">
      <c r="A142" s="255"/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8"/>
    </row>
    <row r="143" spans="1:14">
      <c r="A143" s="255"/>
      <c r="B143" s="256" t="s">
        <v>96</v>
      </c>
      <c r="C143" s="274">
        <f>SUM(C111,C113:C114,C116:C117,C119,C122:C124,C80:N80)</f>
        <v>1808880.7202000003</v>
      </c>
      <c r="D143" s="274">
        <f>SUM(D111,D113:D114,D116:D117,D119,D122:D124,C79:N79)</f>
        <v>2891240.240199999</v>
      </c>
      <c r="E143" s="274">
        <f>SUM(E111,E113:E114,E116:E117,E119,E122:E124)</f>
        <v>1661286.2401999999</v>
      </c>
      <c r="F143" s="274">
        <f>SUM(F111,F113:F114,F116:F117,F119,F122:F124)</f>
        <v>1661286.2401999999</v>
      </c>
      <c r="G143" s="274">
        <f>SUM(G111,G113:G114,G116:G117,G119,G122:G124)</f>
        <v>1661286.2401999999</v>
      </c>
      <c r="H143" s="274">
        <f>SUM(H111,H113:H114,H116:H117,H119,H122:H124,C126:H126)</f>
        <v>2313161.8602</v>
      </c>
      <c r="I143" s="274">
        <f>SUM(I111,I113:I114,I116:I117,I119,I122:I124)</f>
        <v>1661286.2401999999</v>
      </c>
      <c r="J143" s="274">
        <f t="shared" ref="J143:M143" si="66">SUM(J111,J113:J114,J116:J117,J119,J122:J124)</f>
        <v>1661286.2401999999</v>
      </c>
      <c r="K143" s="274">
        <f t="shared" si="66"/>
        <v>1661286.2401999999</v>
      </c>
      <c r="L143" s="274">
        <f t="shared" si="66"/>
        <v>1661286.2401999999</v>
      </c>
      <c r="M143" s="274">
        <f t="shared" si="66"/>
        <v>1661286.2401999999</v>
      </c>
      <c r="N143" s="275">
        <f>SUM(N111,N113:N114,N116:N117,N119,N122:N124,I126:N126,C129:N129)</f>
        <v>2908616.8602</v>
      </c>
    </row>
    <row r="144" spans="1:14" ht="15.75" thickBot="1">
      <c r="A144" s="276"/>
      <c r="B144" s="277" t="s">
        <v>97</v>
      </c>
      <c r="C144" s="278">
        <f>SUM(C143:N143)</f>
        <v>23212189.602399994</v>
      </c>
      <c r="D144" s="279">
        <f>C144*4</f>
        <v>92848758.409599975</v>
      </c>
      <c r="E144" s="277"/>
      <c r="F144" s="277"/>
      <c r="G144" s="277"/>
      <c r="H144" s="277"/>
      <c r="I144" s="277"/>
      <c r="J144" s="277"/>
      <c r="K144" s="277"/>
      <c r="L144" s="277"/>
      <c r="M144" s="277"/>
      <c r="N144" s="280"/>
    </row>
    <row r="145" spans="1:14">
      <c r="A145" s="281" t="s">
        <v>183</v>
      </c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3"/>
    </row>
    <row r="146" spans="1:14">
      <c r="A146" s="284"/>
      <c r="B146" s="285" t="s">
        <v>68</v>
      </c>
      <c r="C146" s="285">
        <v>1</v>
      </c>
      <c r="D146" s="286">
        <f>0.00522</f>
        <v>5.2199999999999998E-3</v>
      </c>
      <c r="E146" s="285"/>
      <c r="F146" s="285"/>
      <c r="G146" s="285"/>
      <c r="H146" s="285"/>
      <c r="I146" s="285"/>
      <c r="J146" s="285"/>
      <c r="K146" s="285"/>
      <c r="L146" s="285"/>
      <c r="M146" s="285"/>
      <c r="N146" s="287"/>
    </row>
    <row r="147" spans="1:14">
      <c r="A147" s="284"/>
      <c r="B147" s="285"/>
      <c r="C147" s="285">
        <v>2</v>
      </c>
      <c r="D147" s="286">
        <f>1.044%</f>
        <v>1.044E-2</v>
      </c>
      <c r="E147" s="285"/>
      <c r="F147" s="285"/>
      <c r="G147" s="285"/>
      <c r="H147" s="285"/>
      <c r="I147" s="285"/>
      <c r="J147" s="285"/>
      <c r="K147" s="285"/>
      <c r="L147" s="285"/>
      <c r="M147" s="285"/>
      <c r="N147" s="287"/>
    </row>
    <row r="148" spans="1:14">
      <c r="A148" s="284"/>
      <c r="B148" s="285"/>
      <c r="C148" s="285">
        <v>3</v>
      </c>
      <c r="D148" s="288">
        <v>2.436E-2</v>
      </c>
      <c r="E148" s="285"/>
      <c r="F148" s="285"/>
      <c r="G148" s="285"/>
      <c r="H148" s="285"/>
      <c r="I148" s="285"/>
      <c r="J148" s="285"/>
      <c r="K148" s="285"/>
      <c r="L148" s="285"/>
      <c r="M148" s="285"/>
      <c r="N148" s="287"/>
    </row>
    <row r="149" spans="1:14">
      <c r="A149" s="284"/>
      <c r="B149" s="285"/>
      <c r="C149" s="289">
        <v>0.04</v>
      </c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7"/>
    </row>
    <row r="150" spans="1:14">
      <c r="A150" s="284"/>
      <c r="B150" s="285" t="s">
        <v>69</v>
      </c>
      <c r="C150" s="290">
        <f>C102*(1+C149)</f>
        <v>1238546.4000000001</v>
      </c>
      <c r="D150" s="290">
        <f>C150</f>
        <v>1238546.4000000001</v>
      </c>
      <c r="E150" s="290">
        <f t="shared" ref="E150:N150" si="67">D150</f>
        <v>1238546.4000000001</v>
      </c>
      <c r="F150" s="290">
        <f t="shared" si="67"/>
        <v>1238546.4000000001</v>
      </c>
      <c r="G150" s="290">
        <f t="shared" si="67"/>
        <v>1238546.4000000001</v>
      </c>
      <c r="H150" s="290">
        <f t="shared" si="67"/>
        <v>1238546.4000000001</v>
      </c>
      <c r="I150" s="290">
        <f t="shared" si="67"/>
        <v>1238546.4000000001</v>
      </c>
      <c r="J150" s="290">
        <f t="shared" si="67"/>
        <v>1238546.4000000001</v>
      </c>
      <c r="K150" s="290">
        <f t="shared" si="67"/>
        <v>1238546.4000000001</v>
      </c>
      <c r="L150" s="290">
        <f t="shared" si="67"/>
        <v>1238546.4000000001</v>
      </c>
      <c r="M150" s="290">
        <f t="shared" si="67"/>
        <v>1238546.4000000001</v>
      </c>
      <c r="N150" s="291">
        <f t="shared" si="67"/>
        <v>1238546.4000000001</v>
      </c>
    </row>
    <row r="151" spans="1:14">
      <c r="A151" s="284"/>
      <c r="B151" s="285" t="s">
        <v>70</v>
      </c>
      <c r="C151" s="290">
        <f>IF(C150&lt;2*908526*(1+$C$101)*(1+$C$149),106454*(1+$C$101)*(1+$C$149),0)</f>
        <v>117354.88960000001</v>
      </c>
      <c r="D151" s="290">
        <f t="shared" ref="D151:N151" si="68">IF(D150&lt;2*908526*(1+$C$101)*(1+$C$149),106454*(1+$C$101)*(1+$C$149),0)</f>
        <v>117354.88960000001</v>
      </c>
      <c r="E151" s="290">
        <f t="shared" si="68"/>
        <v>117354.88960000001</v>
      </c>
      <c r="F151" s="290">
        <f t="shared" si="68"/>
        <v>117354.88960000001</v>
      </c>
      <c r="G151" s="290">
        <f t="shared" si="68"/>
        <v>117354.88960000001</v>
      </c>
      <c r="H151" s="290">
        <f t="shared" si="68"/>
        <v>117354.88960000001</v>
      </c>
      <c r="I151" s="290">
        <f t="shared" si="68"/>
        <v>117354.88960000001</v>
      </c>
      <c r="J151" s="290">
        <f t="shared" si="68"/>
        <v>117354.88960000001</v>
      </c>
      <c r="K151" s="290">
        <f t="shared" si="68"/>
        <v>117354.88960000001</v>
      </c>
      <c r="L151" s="290">
        <f t="shared" si="68"/>
        <v>117354.88960000001</v>
      </c>
      <c r="M151" s="290">
        <f t="shared" si="68"/>
        <v>117354.88960000001</v>
      </c>
      <c r="N151" s="290">
        <f t="shared" si="68"/>
        <v>117354.88960000001</v>
      </c>
    </row>
    <row r="152" spans="1:14">
      <c r="A152" s="292"/>
      <c r="B152" s="285" t="s">
        <v>71</v>
      </c>
      <c r="C152" s="293">
        <v>0</v>
      </c>
      <c r="D152" s="293">
        <v>0</v>
      </c>
      <c r="E152" s="293">
        <v>0</v>
      </c>
      <c r="F152" s="293">
        <v>0</v>
      </c>
      <c r="G152" s="293">
        <v>0</v>
      </c>
      <c r="H152" s="293">
        <v>0</v>
      </c>
      <c r="I152" s="293">
        <v>0</v>
      </c>
      <c r="J152" s="293">
        <v>0</v>
      </c>
      <c r="K152" s="293">
        <v>0</v>
      </c>
      <c r="L152" s="293">
        <v>0</v>
      </c>
      <c r="M152" s="293">
        <v>0</v>
      </c>
      <c r="N152" s="294">
        <v>0</v>
      </c>
    </row>
    <row r="153" spans="1:14">
      <c r="A153" s="284"/>
      <c r="B153" s="285" t="s">
        <v>72</v>
      </c>
      <c r="C153" s="295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4"/>
    </row>
    <row r="154" spans="1:14">
      <c r="A154" s="284"/>
      <c r="B154" s="285" t="s">
        <v>73</v>
      </c>
      <c r="C154" s="295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4"/>
    </row>
    <row r="155" spans="1:14">
      <c r="A155" s="284"/>
      <c r="B155" s="285"/>
      <c r="C155" s="295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4"/>
    </row>
    <row r="156" spans="1:14">
      <c r="A156" s="405" t="s">
        <v>74</v>
      </c>
      <c r="B156" s="285" t="s">
        <v>75</v>
      </c>
      <c r="C156" s="290">
        <f t="shared" ref="C156:E156" si="69">SUM(C150:C154)</f>
        <v>1355901.2896000003</v>
      </c>
      <c r="D156" s="293">
        <f t="shared" si="69"/>
        <v>1355901.2896000003</v>
      </c>
      <c r="E156" s="293">
        <f t="shared" si="69"/>
        <v>1355901.2896000003</v>
      </c>
      <c r="F156" s="293">
        <f>SUM(F150:F154)</f>
        <v>1355901.2896000003</v>
      </c>
      <c r="G156" s="293">
        <f t="shared" ref="G156:N156" si="70">SUM(G150:G154)</f>
        <v>1355901.2896000003</v>
      </c>
      <c r="H156" s="293">
        <f t="shared" si="70"/>
        <v>1355901.2896000003</v>
      </c>
      <c r="I156" s="293">
        <f t="shared" si="70"/>
        <v>1355901.2896000003</v>
      </c>
      <c r="J156" s="293">
        <f t="shared" si="70"/>
        <v>1355901.2896000003</v>
      </c>
      <c r="K156" s="293">
        <f t="shared" si="70"/>
        <v>1355901.2896000003</v>
      </c>
      <c r="L156" s="293">
        <f t="shared" si="70"/>
        <v>1355901.2896000003</v>
      </c>
      <c r="M156" s="293">
        <f t="shared" si="70"/>
        <v>1355901.2896000003</v>
      </c>
      <c r="N156" s="294">
        <f t="shared" si="70"/>
        <v>1355901.2896000003</v>
      </c>
    </row>
    <row r="157" spans="1:14">
      <c r="A157" s="405"/>
      <c r="B157" s="285" t="s">
        <v>76</v>
      </c>
      <c r="C157" s="290">
        <f t="shared" ref="C157:N157" si="71">C156-C151</f>
        <v>1238546.4000000001</v>
      </c>
      <c r="D157" s="296">
        <f t="shared" si="71"/>
        <v>1238546.4000000001</v>
      </c>
      <c r="E157" s="296">
        <f t="shared" si="71"/>
        <v>1238546.4000000001</v>
      </c>
      <c r="F157" s="296">
        <f t="shared" si="71"/>
        <v>1238546.4000000001</v>
      </c>
      <c r="G157" s="296">
        <f t="shared" si="71"/>
        <v>1238546.4000000001</v>
      </c>
      <c r="H157" s="296">
        <f t="shared" si="71"/>
        <v>1238546.4000000001</v>
      </c>
      <c r="I157" s="296">
        <f t="shared" si="71"/>
        <v>1238546.4000000001</v>
      </c>
      <c r="J157" s="296">
        <f t="shared" si="71"/>
        <v>1238546.4000000001</v>
      </c>
      <c r="K157" s="296">
        <f t="shared" si="71"/>
        <v>1238546.4000000001</v>
      </c>
      <c r="L157" s="296">
        <f t="shared" si="71"/>
        <v>1238546.4000000001</v>
      </c>
      <c r="M157" s="296">
        <f t="shared" si="71"/>
        <v>1238546.4000000001</v>
      </c>
      <c r="N157" s="297">
        <f t="shared" si="71"/>
        <v>1238546.4000000001</v>
      </c>
    </row>
    <row r="158" spans="1:14">
      <c r="A158" s="284"/>
      <c r="B158" s="285"/>
      <c r="C158" s="290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7"/>
    </row>
    <row r="159" spans="1:14">
      <c r="A159" s="284"/>
      <c r="B159" s="285" t="s">
        <v>77</v>
      </c>
      <c r="C159" s="290">
        <f t="shared" ref="C159:N159" si="72">C156-C161-C164</f>
        <v>1256817.5776000004</v>
      </c>
      <c r="D159" s="296">
        <f t="shared" si="72"/>
        <v>1256817.5776000004</v>
      </c>
      <c r="E159" s="296">
        <f t="shared" si="72"/>
        <v>1256817.5776000004</v>
      </c>
      <c r="F159" s="296">
        <f t="shared" si="72"/>
        <v>1256817.5776000004</v>
      </c>
      <c r="G159" s="296">
        <f t="shared" si="72"/>
        <v>1256817.5776000004</v>
      </c>
      <c r="H159" s="296">
        <f t="shared" si="72"/>
        <v>1256817.5776000004</v>
      </c>
      <c r="I159" s="296">
        <f t="shared" si="72"/>
        <v>1256817.5776000004</v>
      </c>
      <c r="J159" s="296">
        <f t="shared" si="72"/>
        <v>1256817.5776000004</v>
      </c>
      <c r="K159" s="296">
        <f t="shared" si="72"/>
        <v>1256817.5776000004</v>
      </c>
      <c r="L159" s="296">
        <f t="shared" si="72"/>
        <v>1256817.5776000004</v>
      </c>
      <c r="M159" s="296">
        <f t="shared" si="72"/>
        <v>1256817.5776000004</v>
      </c>
      <c r="N159" s="297">
        <f t="shared" si="72"/>
        <v>1256817.5776000004</v>
      </c>
    </row>
    <row r="160" spans="1:14">
      <c r="A160" s="284"/>
      <c r="B160" s="285"/>
      <c r="C160" s="290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7"/>
    </row>
    <row r="161" spans="1:14">
      <c r="A161" s="403" t="s">
        <v>78</v>
      </c>
      <c r="B161" s="298" t="s">
        <v>79</v>
      </c>
      <c r="C161" s="290">
        <f t="shared" ref="C161:N161" si="73">C157*4%</f>
        <v>49541.856000000007</v>
      </c>
      <c r="D161" s="296">
        <f t="shared" si="73"/>
        <v>49541.856000000007</v>
      </c>
      <c r="E161" s="296">
        <f t="shared" si="73"/>
        <v>49541.856000000007</v>
      </c>
      <c r="F161" s="296">
        <f t="shared" si="73"/>
        <v>49541.856000000007</v>
      </c>
      <c r="G161" s="296">
        <f t="shared" si="73"/>
        <v>49541.856000000007</v>
      </c>
      <c r="H161" s="296">
        <f t="shared" si="73"/>
        <v>49541.856000000007</v>
      </c>
      <c r="I161" s="296">
        <f t="shared" si="73"/>
        <v>49541.856000000007</v>
      </c>
      <c r="J161" s="296">
        <f t="shared" si="73"/>
        <v>49541.856000000007</v>
      </c>
      <c r="K161" s="296">
        <f t="shared" si="73"/>
        <v>49541.856000000007</v>
      </c>
      <c r="L161" s="296">
        <f t="shared" si="73"/>
        <v>49541.856000000007</v>
      </c>
      <c r="M161" s="296">
        <f t="shared" si="73"/>
        <v>49541.856000000007</v>
      </c>
      <c r="N161" s="297">
        <f t="shared" si="73"/>
        <v>49541.856000000007</v>
      </c>
    </row>
    <row r="162" spans="1:14">
      <c r="A162" s="403"/>
      <c r="B162" s="298" t="s">
        <v>80</v>
      </c>
      <c r="C162" s="290">
        <f t="shared" ref="C162:N162" si="74">C157*8.5%</f>
        <v>105276.44400000002</v>
      </c>
      <c r="D162" s="296">
        <f t="shared" si="74"/>
        <v>105276.44400000002</v>
      </c>
      <c r="E162" s="296">
        <f t="shared" si="74"/>
        <v>105276.44400000002</v>
      </c>
      <c r="F162" s="296">
        <f t="shared" si="74"/>
        <v>105276.44400000002</v>
      </c>
      <c r="G162" s="296">
        <f t="shared" si="74"/>
        <v>105276.44400000002</v>
      </c>
      <c r="H162" s="296">
        <f t="shared" si="74"/>
        <v>105276.44400000002</v>
      </c>
      <c r="I162" s="296">
        <f t="shared" si="74"/>
        <v>105276.44400000002</v>
      </c>
      <c r="J162" s="296">
        <f t="shared" si="74"/>
        <v>105276.44400000002</v>
      </c>
      <c r="K162" s="296">
        <f t="shared" si="74"/>
        <v>105276.44400000002</v>
      </c>
      <c r="L162" s="296">
        <f t="shared" si="74"/>
        <v>105276.44400000002</v>
      </c>
      <c r="M162" s="296">
        <f t="shared" si="74"/>
        <v>105276.44400000002</v>
      </c>
      <c r="N162" s="297">
        <f t="shared" si="74"/>
        <v>105276.44400000002</v>
      </c>
    </row>
    <row r="163" spans="1:14">
      <c r="A163" s="284"/>
      <c r="B163" s="298"/>
      <c r="C163" s="290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7"/>
    </row>
    <row r="164" spans="1:14">
      <c r="A164" s="403" t="s">
        <v>81</v>
      </c>
      <c r="B164" s="298" t="s">
        <v>82</v>
      </c>
      <c r="C164" s="290">
        <f t="shared" ref="C164:N164" si="75">C157*4%</f>
        <v>49541.856000000007</v>
      </c>
      <c r="D164" s="296">
        <f t="shared" si="75"/>
        <v>49541.856000000007</v>
      </c>
      <c r="E164" s="296">
        <f t="shared" si="75"/>
        <v>49541.856000000007</v>
      </c>
      <c r="F164" s="296">
        <f t="shared" si="75"/>
        <v>49541.856000000007</v>
      </c>
      <c r="G164" s="296">
        <f t="shared" si="75"/>
        <v>49541.856000000007</v>
      </c>
      <c r="H164" s="296">
        <f t="shared" si="75"/>
        <v>49541.856000000007</v>
      </c>
      <c r="I164" s="296">
        <f t="shared" si="75"/>
        <v>49541.856000000007</v>
      </c>
      <c r="J164" s="296">
        <f t="shared" si="75"/>
        <v>49541.856000000007</v>
      </c>
      <c r="K164" s="296">
        <f t="shared" si="75"/>
        <v>49541.856000000007</v>
      </c>
      <c r="L164" s="296">
        <f t="shared" si="75"/>
        <v>49541.856000000007</v>
      </c>
      <c r="M164" s="296">
        <f t="shared" si="75"/>
        <v>49541.856000000007</v>
      </c>
      <c r="N164" s="297">
        <f t="shared" si="75"/>
        <v>49541.856000000007</v>
      </c>
    </row>
    <row r="165" spans="1:14">
      <c r="A165" s="403"/>
      <c r="B165" s="298" t="s">
        <v>80</v>
      </c>
      <c r="C165" s="290">
        <f t="shared" ref="C165:N165" si="76">C157*12%</f>
        <v>148625.568</v>
      </c>
      <c r="D165" s="296">
        <f t="shared" si="76"/>
        <v>148625.568</v>
      </c>
      <c r="E165" s="296">
        <f t="shared" si="76"/>
        <v>148625.568</v>
      </c>
      <c r="F165" s="296">
        <f t="shared" si="76"/>
        <v>148625.568</v>
      </c>
      <c r="G165" s="296">
        <f t="shared" si="76"/>
        <v>148625.568</v>
      </c>
      <c r="H165" s="296">
        <f t="shared" si="76"/>
        <v>148625.568</v>
      </c>
      <c r="I165" s="296">
        <f t="shared" si="76"/>
        <v>148625.568</v>
      </c>
      <c r="J165" s="296">
        <f t="shared" si="76"/>
        <v>148625.568</v>
      </c>
      <c r="K165" s="296">
        <f t="shared" si="76"/>
        <v>148625.568</v>
      </c>
      <c r="L165" s="296">
        <f t="shared" si="76"/>
        <v>148625.568</v>
      </c>
      <c r="M165" s="296">
        <f t="shared" si="76"/>
        <v>148625.568</v>
      </c>
      <c r="N165" s="297">
        <f t="shared" si="76"/>
        <v>148625.568</v>
      </c>
    </row>
    <row r="166" spans="1:14">
      <c r="A166" s="284"/>
      <c r="B166" s="298"/>
      <c r="C166" s="290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7"/>
    </row>
    <row r="167" spans="1:14">
      <c r="A167" s="284" t="s">
        <v>83</v>
      </c>
      <c r="B167" s="299">
        <v>1</v>
      </c>
      <c r="C167" s="290">
        <f>IF(B167=C146,D146*C157,IF(B167=C147,D147*C157,IF(B167=C148,D148*C157,0)))</f>
        <v>6465.2122080000008</v>
      </c>
      <c r="D167" s="296">
        <f>IF(B167=C146,D146*C157,IF(B167=C147,D147*C157,IF(B167=C148,D148*C157,0)))</f>
        <v>6465.2122080000008</v>
      </c>
      <c r="E167" s="296">
        <f>IF(B167=C146,D146*C157,IF(B167=C147,D147*C157,IF(B167=C148,D148*C157,0)))</f>
        <v>6465.2122080000008</v>
      </c>
      <c r="F167" s="296">
        <f>IF(B167=C146,D146*C157,IF(B167=C147,D147*C157,IF(B167=C148,D148*C157,0)))</f>
        <v>6465.2122080000008</v>
      </c>
      <c r="G167" s="296">
        <f>IF(B167=C146,D146*C157,IF(B167=C147,D147*C157,IF(B167=C148,D148*C157,0)))</f>
        <v>6465.2122080000008</v>
      </c>
      <c r="H167" s="296">
        <f>IF(B167=C146,D146*C157,IF(B167=C147,D147*C157,IF(B167=C148,D148*C157,0)))</f>
        <v>6465.2122080000008</v>
      </c>
      <c r="I167" s="296">
        <f>IF(B167=C146,D146*C157,IF(B167=C147,D147*C157,IF(B167=C148,D148*C157,0)))</f>
        <v>6465.2122080000008</v>
      </c>
      <c r="J167" s="296">
        <f>IF(B167=C146,D146*C157,IF(B167=C147,D147*C157,IF(B167=C148,D148*C157,0)))</f>
        <v>6465.2122080000008</v>
      </c>
      <c r="K167" s="296">
        <f>IF(B167=C146,D146*C157,IF(B167=C147,D147*C157,IF(B167=C148,D148*C157,0)))</f>
        <v>6465.2122080000008</v>
      </c>
      <c r="L167" s="296">
        <f>IF(B167=C146,D146*C157,IF(B167=C147,D147*C157,IF(B167=C148,D148*C157,0)))</f>
        <v>6465.2122080000008</v>
      </c>
      <c r="M167" s="296">
        <f>IF(B167=C146,D146*C157,IF(B167=C147,D147*C157,IF(B167=C148,D148*C157,0)))</f>
        <v>6465.2122080000008</v>
      </c>
      <c r="N167" s="297">
        <f>IF(B167=C146,D146*C157,IF(B167=C147,D147*C157,IF(B167=C148,D148*C157,0)))</f>
        <v>6465.2122080000008</v>
      </c>
    </row>
    <row r="168" spans="1:14">
      <c r="A168" s="284"/>
      <c r="B168" s="298"/>
      <c r="C168" s="290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7"/>
    </row>
    <row r="169" spans="1:14">
      <c r="A169" s="284"/>
      <c r="B169" s="298"/>
      <c r="C169" s="290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7"/>
    </row>
    <row r="170" spans="1:14">
      <c r="A170" s="403" t="s">
        <v>84</v>
      </c>
      <c r="B170" s="298" t="s">
        <v>85</v>
      </c>
      <c r="C170" s="290">
        <f t="shared" ref="C170:N170" si="77">2%*C157</f>
        <v>24770.928000000004</v>
      </c>
      <c r="D170" s="296">
        <f t="shared" si="77"/>
        <v>24770.928000000004</v>
      </c>
      <c r="E170" s="296">
        <f t="shared" si="77"/>
        <v>24770.928000000004</v>
      </c>
      <c r="F170" s="296">
        <f t="shared" si="77"/>
        <v>24770.928000000004</v>
      </c>
      <c r="G170" s="296">
        <f t="shared" si="77"/>
        <v>24770.928000000004</v>
      </c>
      <c r="H170" s="296">
        <f t="shared" si="77"/>
        <v>24770.928000000004</v>
      </c>
      <c r="I170" s="296">
        <f t="shared" si="77"/>
        <v>24770.928000000004</v>
      </c>
      <c r="J170" s="296">
        <f t="shared" si="77"/>
        <v>24770.928000000004</v>
      </c>
      <c r="K170" s="296">
        <f t="shared" si="77"/>
        <v>24770.928000000004</v>
      </c>
      <c r="L170" s="296">
        <f t="shared" si="77"/>
        <v>24770.928000000004</v>
      </c>
      <c r="M170" s="296">
        <f t="shared" si="77"/>
        <v>24770.928000000004</v>
      </c>
      <c r="N170" s="297">
        <f t="shared" si="77"/>
        <v>24770.928000000004</v>
      </c>
    </row>
    <row r="171" spans="1:14">
      <c r="A171" s="403"/>
      <c r="B171" s="298" t="s">
        <v>86</v>
      </c>
      <c r="C171" s="290">
        <f t="shared" ref="C171:N171" si="78">C157*3%</f>
        <v>37156.392</v>
      </c>
      <c r="D171" s="296">
        <f t="shared" si="78"/>
        <v>37156.392</v>
      </c>
      <c r="E171" s="296">
        <f t="shared" si="78"/>
        <v>37156.392</v>
      </c>
      <c r="F171" s="296">
        <f t="shared" si="78"/>
        <v>37156.392</v>
      </c>
      <c r="G171" s="296">
        <f t="shared" si="78"/>
        <v>37156.392</v>
      </c>
      <c r="H171" s="296">
        <f t="shared" si="78"/>
        <v>37156.392</v>
      </c>
      <c r="I171" s="296">
        <f t="shared" si="78"/>
        <v>37156.392</v>
      </c>
      <c r="J171" s="296">
        <f t="shared" si="78"/>
        <v>37156.392</v>
      </c>
      <c r="K171" s="296">
        <f t="shared" si="78"/>
        <v>37156.392</v>
      </c>
      <c r="L171" s="296">
        <f t="shared" si="78"/>
        <v>37156.392</v>
      </c>
      <c r="M171" s="296">
        <f t="shared" si="78"/>
        <v>37156.392</v>
      </c>
      <c r="N171" s="297">
        <f t="shared" si="78"/>
        <v>37156.392</v>
      </c>
    </row>
    <row r="172" spans="1:14">
      <c r="A172" s="403"/>
      <c r="B172" s="298" t="s">
        <v>87</v>
      </c>
      <c r="C172" s="290">
        <f t="shared" ref="C172:N172" si="79">C157*4%</f>
        <v>49541.856000000007</v>
      </c>
      <c r="D172" s="296">
        <f t="shared" si="79"/>
        <v>49541.856000000007</v>
      </c>
      <c r="E172" s="296">
        <f t="shared" si="79"/>
        <v>49541.856000000007</v>
      </c>
      <c r="F172" s="296">
        <f t="shared" si="79"/>
        <v>49541.856000000007</v>
      </c>
      <c r="G172" s="296">
        <f t="shared" si="79"/>
        <v>49541.856000000007</v>
      </c>
      <c r="H172" s="296">
        <f t="shared" si="79"/>
        <v>49541.856000000007</v>
      </c>
      <c r="I172" s="296">
        <f t="shared" si="79"/>
        <v>49541.856000000007</v>
      </c>
      <c r="J172" s="296">
        <f t="shared" si="79"/>
        <v>49541.856000000007</v>
      </c>
      <c r="K172" s="296">
        <f t="shared" si="79"/>
        <v>49541.856000000007</v>
      </c>
      <c r="L172" s="296">
        <f t="shared" si="79"/>
        <v>49541.856000000007</v>
      </c>
      <c r="M172" s="296">
        <f t="shared" si="79"/>
        <v>49541.856000000007</v>
      </c>
      <c r="N172" s="297">
        <f t="shared" si="79"/>
        <v>49541.856000000007</v>
      </c>
    </row>
    <row r="173" spans="1:14">
      <c r="A173" s="284"/>
      <c r="B173" s="298"/>
      <c r="C173" s="290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7"/>
    </row>
    <row r="174" spans="1:14">
      <c r="A174" s="284"/>
      <c r="B174" s="298" t="s">
        <v>88</v>
      </c>
      <c r="C174" s="290">
        <f t="shared" ref="C174:D174" si="80">C156*(25/3)%</f>
        <v>112991.77413333337</v>
      </c>
      <c r="D174" s="296">
        <f t="shared" si="80"/>
        <v>112991.77413333337</v>
      </c>
      <c r="E174" s="296">
        <f>E156*(25/3)%</f>
        <v>112991.77413333337</v>
      </c>
      <c r="F174" s="296">
        <f t="shared" ref="F174:N174" si="81">F156*(25/3)%</f>
        <v>112991.77413333337</v>
      </c>
      <c r="G174" s="296">
        <f t="shared" si="81"/>
        <v>112991.77413333337</v>
      </c>
      <c r="H174" s="296">
        <f t="shared" si="81"/>
        <v>112991.77413333337</v>
      </c>
      <c r="I174" s="296">
        <f t="shared" si="81"/>
        <v>112991.77413333337</v>
      </c>
      <c r="J174" s="296">
        <f t="shared" si="81"/>
        <v>112991.77413333337</v>
      </c>
      <c r="K174" s="296">
        <f t="shared" si="81"/>
        <v>112991.77413333337</v>
      </c>
      <c r="L174" s="296">
        <f t="shared" si="81"/>
        <v>112991.77413333337</v>
      </c>
      <c r="M174" s="296">
        <f t="shared" si="81"/>
        <v>112991.77413333337</v>
      </c>
      <c r="N174" s="297">
        <f t="shared" si="81"/>
        <v>112991.77413333337</v>
      </c>
    </row>
    <row r="175" spans="1:14">
      <c r="A175" s="284"/>
      <c r="B175" s="298" t="s">
        <v>89</v>
      </c>
      <c r="C175" s="290">
        <f t="shared" ref="C175:N175" si="82">C156*(25/3)%</f>
        <v>112991.77413333337</v>
      </c>
      <c r="D175" s="296">
        <f t="shared" si="82"/>
        <v>112991.77413333337</v>
      </c>
      <c r="E175" s="296">
        <f t="shared" si="82"/>
        <v>112991.77413333337</v>
      </c>
      <c r="F175" s="296">
        <f t="shared" si="82"/>
        <v>112991.77413333337</v>
      </c>
      <c r="G175" s="296">
        <f t="shared" si="82"/>
        <v>112991.77413333337</v>
      </c>
      <c r="H175" s="296">
        <f t="shared" si="82"/>
        <v>112991.77413333337</v>
      </c>
      <c r="I175" s="296">
        <f t="shared" si="82"/>
        <v>112991.77413333337</v>
      </c>
      <c r="J175" s="296">
        <f t="shared" si="82"/>
        <v>112991.77413333337</v>
      </c>
      <c r="K175" s="296">
        <f t="shared" si="82"/>
        <v>112991.77413333337</v>
      </c>
      <c r="L175" s="296">
        <f t="shared" si="82"/>
        <v>112991.77413333337</v>
      </c>
      <c r="M175" s="296">
        <f t="shared" si="82"/>
        <v>112991.77413333337</v>
      </c>
      <c r="N175" s="297">
        <f t="shared" si="82"/>
        <v>112991.77413333337</v>
      </c>
    </row>
    <row r="176" spans="1:14">
      <c r="A176" s="284"/>
      <c r="B176" s="298" t="s">
        <v>90</v>
      </c>
      <c r="C176" s="290">
        <f t="shared" ref="C176:N176" si="83">C175*12%</f>
        <v>13559.012896000004</v>
      </c>
      <c r="D176" s="296">
        <f t="shared" si="83"/>
        <v>13559.012896000004</v>
      </c>
      <c r="E176" s="296">
        <f t="shared" si="83"/>
        <v>13559.012896000004</v>
      </c>
      <c r="F176" s="296">
        <f t="shared" si="83"/>
        <v>13559.012896000004</v>
      </c>
      <c r="G176" s="296">
        <f t="shared" si="83"/>
        <v>13559.012896000004</v>
      </c>
      <c r="H176" s="296">
        <f t="shared" si="83"/>
        <v>13559.012896000004</v>
      </c>
      <c r="I176" s="296">
        <f t="shared" si="83"/>
        <v>13559.012896000004</v>
      </c>
      <c r="J176" s="296">
        <f t="shared" si="83"/>
        <v>13559.012896000004</v>
      </c>
      <c r="K176" s="296">
        <f t="shared" si="83"/>
        <v>13559.012896000004</v>
      </c>
      <c r="L176" s="296">
        <f t="shared" si="83"/>
        <v>13559.012896000004</v>
      </c>
      <c r="M176" s="296">
        <f t="shared" si="83"/>
        <v>13559.012896000004</v>
      </c>
      <c r="N176" s="297">
        <f t="shared" si="83"/>
        <v>13559.012896000004</v>
      </c>
    </row>
    <row r="177" spans="1:14">
      <c r="A177" s="284"/>
      <c r="B177" s="298" t="s">
        <v>91</v>
      </c>
      <c r="C177" s="290">
        <f t="shared" ref="C177:N177" si="84">C150*(25/6)%</f>
        <v>51606.100000000013</v>
      </c>
      <c r="D177" s="296">
        <f t="shared" si="84"/>
        <v>51606.100000000013</v>
      </c>
      <c r="E177" s="296">
        <f t="shared" si="84"/>
        <v>51606.100000000013</v>
      </c>
      <c r="F177" s="296">
        <f t="shared" si="84"/>
        <v>51606.100000000013</v>
      </c>
      <c r="G177" s="296">
        <f t="shared" si="84"/>
        <v>51606.100000000013</v>
      </c>
      <c r="H177" s="296">
        <f t="shared" si="84"/>
        <v>51606.100000000013</v>
      </c>
      <c r="I177" s="296">
        <f t="shared" si="84"/>
        <v>51606.100000000013</v>
      </c>
      <c r="J177" s="296">
        <f t="shared" si="84"/>
        <v>51606.100000000013</v>
      </c>
      <c r="K177" s="296">
        <f t="shared" si="84"/>
        <v>51606.100000000013</v>
      </c>
      <c r="L177" s="296">
        <f t="shared" si="84"/>
        <v>51606.100000000013</v>
      </c>
      <c r="M177" s="296">
        <f t="shared" si="84"/>
        <v>51606.100000000013</v>
      </c>
      <c r="N177" s="297">
        <f t="shared" si="84"/>
        <v>51606.100000000013</v>
      </c>
    </row>
    <row r="178" spans="1:14">
      <c r="A178" s="284"/>
      <c r="B178" s="285"/>
      <c r="C178" s="290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7"/>
    </row>
    <row r="179" spans="1:14">
      <c r="A179" s="284"/>
      <c r="B179" s="285" t="s">
        <v>92</v>
      </c>
      <c r="C179" s="290">
        <f t="shared" ref="C179:N179" si="85">SUM(C159,C161:C177)</f>
        <v>2018886.3509706671</v>
      </c>
      <c r="D179" s="296">
        <f t="shared" si="85"/>
        <v>2018886.3509706671</v>
      </c>
      <c r="E179" s="296">
        <f t="shared" si="85"/>
        <v>2018886.3509706671</v>
      </c>
      <c r="F179" s="296">
        <f t="shared" si="85"/>
        <v>2018886.3509706671</v>
      </c>
      <c r="G179" s="296">
        <f t="shared" si="85"/>
        <v>2018886.3509706671</v>
      </c>
      <c r="H179" s="296">
        <f t="shared" si="85"/>
        <v>2018886.3509706671</v>
      </c>
      <c r="I179" s="296">
        <f t="shared" si="85"/>
        <v>2018886.3509706671</v>
      </c>
      <c r="J179" s="296">
        <f t="shared" si="85"/>
        <v>2018886.3509706671</v>
      </c>
      <c r="K179" s="296">
        <f t="shared" si="85"/>
        <v>2018886.3509706671</v>
      </c>
      <c r="L179" s="296">
        <f t="shared" si="85"/>
        <v>2018886.3509706671</v>
      </c>
      <c r="M179" s="296">
        <f t="shared" si="85"/>
        <v>2018886.3509706671</v>
      </c>
      <c r="N179" s="297">
        <f t="shared" si="85"/>
        <v>2018886.3509706671</v>
      </c>
    </row>
    <row r="180" spans="1:14">
      <c r="A180" s="284"/>
      <c r="B180" s="285" t="s">
        <v>93</v>
      </c>
      <c r="C180" s="290">
        <f>C179-SUM(C174:C177)</f>
        <v>1727737.6898080003</v>
      </c>
      <c r="D180" s="296">
        <f t="shared" ref="D180:N180" si="86">D179-SUM(D174:D177)</f>
        <v>1727737.6898080003</v>
      </c>
      <c r="E180" s="296">
        <f t="shared" si="86"/>
        <v>1727737.6898080003</v>
      </c>
      <c r="F180" s="296">
        <f t="shared" si="86"/>
        <v>1727737.6898080003</v>
      </c>
      <c r="G180" s="296">
        <f t="shared" si="86"/>
        <v>1727737.6898080003</v>
      </c>
      <c r="H180" s="296">
        <f t="shared" si="86"/>
        <v>1727737.6898080003</v>
      </c>
      <c r="I180" s="296">
        <f t="shared" si="86"/>
        <v>1727737.6898080003</v>
      </c>
      <c r="J180" s="296">
        <f t="shared" si="86"/>
        <v>1727737.6898080003</v>
      </c>
      <c r="K180" s="296">
        <f t="shared" si="86"/>
        <v>1727737.6898080003</v>
      </c>
      <c r="L180" s="296">
        <f t="shared" si="86"/>
        <v>1727737.6898080003</v>
      </c>
      <c r="M180" s="296">
        <f t="shared" si="86"/>
        <v>1727737.6898080003</v>
      </c>
      <c r="N180" s="297">
        <f t="shared" si="86"/>
        <v>1727737.6898080003</v>
      </c>
    </row>
    <row r="181" spans="1:14">
      <c r="A181" s="284"/>
      <c r="B181" s="285" t="s">
        <v>94</v>
      </c>
      <c r="C181" s="300">
        <v>2</v>
      </c>
      <c r="D181" s="300">
        <f>C181</f>
        <v>2</v>
      </c>
      <c r="E181" s="300">
        <f t="shared" ref="E181:N181" si="87">D181</f>
        <v>2</v>
      </c>
      <c r="F181" s="300">
        <f t="shared" si="87"/>
        <v>2</v>
      </c>
      <c r="G181" s="300">
        <f t="shared" si="87"/>
        <v>2</v>
      </c>
      <c r="H181" s="300">
        <f t="shared" si="87"/>
        <v>2</v>
      </c>
      <c r="I181" s="300">
        <f t="shared" si="87"/>
        <v>2</v>
      </c>
      <c r="J181" s="300">
        <f t="shared" si="87"/>
        <v>2</v>
      </c>
      <c r="K181" s="300">
        <f t="shared" si="87"/>
        <v>2</v>
      </c>
      <c r="L181" s="300">
        <f t="shared" si="87"/>
        <v>2</v>
      </c>
      <c r="M181" s="300">
        <f t="shared" si="87"/>
        <v>2</v>
      </c>
      <c r="N181" s="301">
        <f t="shared" si="87"/>
        <v>2</v>
      </c>
    </row>
    <row r="182" spans="1:14">
      <c r="A182" s="284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7"/>
    </row>
    <row r="183" spans="1:14">
      <c r="A183" s="284"/>
      <c r="B183" s="285"/>
      <c r="C183" s="286">
        <f>(C179*100%/C157)-1</f>
        <v>0.63004498739059511</v>
      </c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7"/>
    </row>
    <row r="184" spans="1:14">
      <c r="A184" s="284"/>
      <c r="B184" s="285"/>
      <c r="C184" s="293" t="s">
        <v>55</v>
      </c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7"/>
    </row>
    <row r="185" spans="1:14">
      <c r="A185" s="284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7"/>
    </row>
    <row r="186" spans="1:14">
      <c r="A186" s="284"/>
      <c r="B186" s="285"/>
      <c r="C186" s="285" t="s">
        <v>93</v>
      </c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7"/>
    </row>
    <row r="187" spans="1:14">
      <c r="A187" s="284"/>
      <c r="B187" s="285"/>
      <c r="C187" s="285" t="s">
        <v>95</v>
      </c>
      <c r="D187" s="285">
        <v>1</v>
      </c>
      <c r="E187" s="285">
        <v>2</v>
      </c>
      <c r="F187" s="285">
        <v>3</v>
      </c>
      <c r="G187" s="285">
        <v>4</v>
      </c>
      <c r="H187" s="285"/>
      <c r="I187" s="285"/>
      <c r="J187" s="285"/>
      <c r="K187" s="285"/>
      <c r="L187" s="285"/>
      <c r="M187" s="285"/>
      <c r="N187" s="287"/>
    </row>
    <row r="188" spans="1:14">
      <c r="A188" s="284"/>
      <c r="B188" s="285"/>
      <c r="C188" s="285"/>
      <c r="D188" s="296">
        <f>SUM(C180:E180)</f>
        <v>5183213.0694240015</v>
      </c>
      <c r="E188" s="296">
        <f>SUM(F180:H180,C174:H174)</f>
        <v>5861163.7142239995</v>
      </c>
      <c r="F188" s="296">
        <f>SUM(I180:K180)</f>
        <v>5183213.0694240015</v>
      </c>
      <c r="G188" s="296">
        <f>SUM(L180:N180,C177:N177,C176:N176,C175:N175,I174:N174)</f>
        <v>7999046.358575996</v>
      </c>
      <c r="H188" s="285"/>
      <c r="I188" s="285"/>
      <c r="J188" s="285"/>
      <c r="K188" s="285"/>
      <c r="L188" s="285"/>
      <c r="M188" s="285"/>
      <c r="N188" s="287"/>
    </row>
    <row r="189" spans="1:14">
      <c r="A189" s="284"/>
      <c r="B189" s="285"/>
      <c r="C189" s="285"/>
      <c r="D189" s="302">
        <f>D188*$C$37</f>
        <v>10366426.138848003</v>
      </c>
      <c r="E189" s="302">
        <f t="shared" ref="E189:G189" si="88">E188*$C$37</f>
        <v>11722327.428447999</v>
      </c>
      <c r="F189" s="302">
        <f t="shared" si="88"/>
        <v>10366426.138848003</v>
      </c>
      <c r="G189" s="302">
        <f t="shared" si="88"/>
        <v>15998092.717151992</v>
      </c>
      <c r="H189" s="285"/>
      <c r="I189" s="285"/>
      <c r="J189" s="285"/>
      <c r="K189" s="285"/>
      <c r="L189" s="285"/>
      <c r="M189" s="285"/>
      <c r="N189" s="287"/>
    </row>
    <row r="190" spans="1:14">
      <c r="A190" s="284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7"/>
    </row>
    <row r="191" spans="1:14">
      <c r="A191" s="284"/>
      <c r="B191" s="285" t="s">
        <v>96</v>
      </c>
      <c r="C191" s="303">
        <f>SUM(C159,C161:C162,C164:C165,C167,C170:C172,C128:N128)</f>
        <v>1884187.8386079988</v>
      </c>
      <c r="D191" s="303">
        <f>SUM(D159,D161:D162,D164:D165,D167,D170:D172,C127:N127,)</f>
        <v>3031488.9298079992</v>
      </c>
      <c r="E191" s="303">
        <f>SUM(E159,E161:E162,E164:E165,E167,E170:E172)</f>
        <v>1727737.6898080001</v>
      </c>
      <c r="F191" s="303">
        <f>SUM(F159,F161:F162,F164:F165,F167,F170:F172)</f>
        <v>1727737.6898080001</v>
      </c>
      <c r="G191" s="303">
        <f>SUM(G159,G161:G162,G164:G165,G167,G170:G172)</f>
        <v>1727737.6898080001</v>
      </c>
      <c r="H191" s="303">
        <f>SUM(H159,H161:H162,H164:H165,H167,H170:H172,C174:H174)</f>
        <v>2405688.3346080007</v>
      </c>
      <c r="I191" s="303">
        <f>SUM(I159,I161:I162,I164:I165,I167,I170:I172)</f>
        <v>1727737.6898080001</v>
      </c>
      <c r="J191" s="303">
        <f t="shared" ref="J191:M191" si="89">SUM(J159,J161:J162,J164:J165,J167,J170:J172)</f>
        <v>1727737.6898080001</v>
      </c>
      <c r="K191" s="303">
        <f t="shared" si="89"/>
        <v>1727737.6898080001</v>
      </c>
      <c r="L191" s="303">
        <f t="shared" si="89"/>
        <v>1727737.6898080001</v>
      </c>
      <c r="M191" s="303">
        <f t="shared" si="89"/>
        <v>1727737.6898080001</v>
      </c>
      <c r="N191" s="304">
        <f>SUM(N159,N161:N162,N164:N165,N167,N170:N172,I174:N174,C177:N177,C175:N175,C176:N176)</f>
        <v>4543570.9789600074</v>
      </c>
    </row>
    <row r="192" spans="1:14" ht="15.75" thickBot="1">
      <c r="A192" s="305"/>
      <c r="B192" s="306" t="s">
        <v>97</v>
      </c>
      <c r="C192" s="307">
        <f>SUM(C191:N191)</f>
        <v>25686837.600448005</v>
      </c>
      <c r="D192" s="308">
        <f>C192*4</f>
        <v>102747350.40179202</v>
      </c>
      <c r="E192" s="306"/>
      <c r="F192" s="306"/>
      <c r="G192" s="306"/>
      <c r="H192" s="306"/>
      <c r="I192" s="306"/>
      <c r="J192" s="306"/>
      <c r="K192" s="306"/>
      <c r="L192" s="306"/>
      <c r="M192" s="306"/>
      <c r="N192" s="309"/>
    </row>
    <row r="194" spans="2:5">
      <c r="B194" t="s">
        <v>168</v>
      </c>
      <c r="C194">
        <v>2021</v>
      </c>
      <c r="D194">
        <v>2022</v>
      </c>
      <c r="E194">
        <v>2023</v>
      </c>
    </row>
    <row r="195" spans="2:5">
      <c r="B195" t="s">
        <v>169</v>
      </c>
      <c r="C195" s="150">
        <f>C96</f>
        <v>20598718.039999999</v>
      </c>
      <c r="D195" s="150">
        <f>C144</f>
        <v>23212189.602399994</v>
      </c>
      <c r="E195" s="150">
        <f>C192</f>
        <v>25686837.600448005</v>
      </c>
    </row>
    <row r="196" spans="2:5">
      <c r="B196" t="s">
        <v>170</v>
      </c>
      <c r="C196">
        <v>4</v>
      </c>
      <c r="D196">
        <f>C196</f>
        <v>4</v>
      </c>
      <c r="E196">
        <f>D196</f>
        <v>4</v>
      </c>
    </row>
    <row r="197" spans="2:5">
      <c r="B197" s="107" t="s">
        <v>171</v>
      </c>
      <c r="C197" s="151">
        <f>C195*C196</f>
        <v>82394872.159999996</v>
      </c>
      <c r="D197" s="151">
        <f t="shared" ref="D197:E197" si="90">D195*D196</f>
        <v>92848758.409599975</v>
      </c>
      <c r="E197" s="151">
        <f t="shared" si="90"/>
        <v>102747350.40179202</v>
      </c>
    </row>
  </sheetData>
  <mergeCells count="16">
    <mergeCell ref="A108:A109"/>
    <mergeCell ref="A12:A13"/>
    <mergeCell ref="A17:A18"/>
    <mergeCell ref="A20:A21"/>
    <mergeCell ref="A26:A28"/>
    <mergeCell ref="A60:A61"/>
    <mergeCell ref="A65:A66"/>
    <mergeCell ref="A68:A69"/>
    <mergeCell ref="A74:A76"/>
    <mergeCell ref="A164:A165"/>
    <mergeCell ref="A170:A172"/>
    <mergeCell ref="A113:A114"/>
    <mergeCell ref="A116:A117"/>
    <mergeCell ref="A122:A124"/>
    <mergeCell ref="A156:A157"/>
    <mergeCell ref="A161:A1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7"/>
  <sheetViews>
    <sheetView topLeftCell="A146" zoomScale="60" zoomScaleNormal="60" workbookViewId="0">
      <selection activeCell="K146" sqref="K1:K1048576"/>
    </sheetView>
  </sheetViews>
  <sheetFormatPr baseColWidth="10" defaultRowHeight="15"/>
  <cols>
    <col min="2" max="2" width="23.140625" customWidth="1"/>
    <col min="3" max="3" width="17.28515625" customWidth="1"/>
    <col min="4" max="4" width="16.85546875" customWidth="1"/>
    <col min="5" max="5" width="17" customWidth="1"/>
    <col min="6" max="6" width="16.28515625" customWidth="1"/>
    <col min="7" max="7" width="19.42578125" customWidth="1"/>
    <col min="8" max="8" width="17.7109375" bestFit="1" customWidth="1"/>
    <col min="9" max="9" width="17" customWidth="1"/>
    <col min="10" max="13" width="17" bestFit="1" customWidth="1"/>
    <col min="14" max="14" width="18.28515625" bestFit="1" customWidth="1"/>
  </cols>
  <sheetData>
    <row r="1" spans="1:14">
      <c r="A1" s="195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>
      <c r="A2" s="198"/>
      <c r="B2" s="199" t="s">
        <v>68</v>
      </c>
      <c r="C2" s="199">
        <v>1</v>
      </c>
      <c r="D2" s="200">
        <f>0.00522</f>
        <v>5.2199999999999998E-3</v>
      </c>
      <c r="E2" s="199"/>
      <c r="F2" s="199"/>
      <c r="G2" s="199"/>
      <c r="H2" s="199"/>
      <c r="I2" s="199"/>
      <c r="J2" s="199"/>
      <c r="K2" s="199"/>
      <c r="L2" s="199"/>
      <c r="M2" s="199"/>
      <c r="N2" s="201"/>
    </row>
    <row r="3" spans="1:14">
      <c r="A3" s="198"/>
      <c r="B3" s="199"/>
      <c r="C3" s="199">
        <v>2</v>
      </c>
      <c r="D3" s="200">
        <f>1.044%</f>
        <v>1.044E-2</v>
      </c>
      <c r="E3" s="199"/>
      <c r="F3" s="199"/>
      <c r="G3" s="199"/>
      <c r="H3" s="199"/>
      <c r="I3" s="199"/>
      <c r="J3" s="199"/>
      <c r="K3" s="199"/>
      <c r="L3" s="199"/>
      <c r="M3" s="199"/>
      <c r="N3" s="201"/>
    </row>
    <row r="4" spans="1:14">
      <c r="A4" s="198"/>
      <c r="B4" s="199"/>
      <c r="C4" s="199">
        <v>3</v>
      </c>
      <c r="D4" s="202">
        <v>2.436E-2</v>
      </c>
      <c r="E4" s="199"/>
      <c r="F4" s="199"/>
      <c r="G4" s="199"/>
      <c r="H4" s="199"/>
      <c r="I4" s="199"/>
      <c r="J4" s="199"/>
      <c r="K4" s="199"/>
      <c r="L4" s="199"/>
      <c r="M4" s="199"/>
      <c r="N4" s="201"/>
    </row>
    <row r="5" spans="1:14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1"/>
    </row>
    <row r="6" spans="1:14">
      <c r="A6" s="198"/>
      <c r="B6" s="199" t="s">
        <v>69</v>
      </c>
      <c r="C6" s="203">
        <v>6100000</v>
      </c>
      <c r="D6" s="203">
        <f>C6</f>
        <v>6100000</v>
      </c>
      <c r="E6" s="203">
        <f t="shared" ref="E6:N6" si="0">D6</f>
        <v>6100000</v>
      </c>
      <c r="F6" s="203">
        <f t="shared" si="0"/>
        <v>6100000</v>
      </c>
      <c r="G6" s="203">
        <f t="shared" si="0"/>
        <v>6100000</v>
      </c>
      <c r="H6" s="203">
        <f t="shared" si="0"/>
        <v>6100000</v>
      </c>
      <c r="I6" s="203">
        <f t="shared" si="0"/>
        <v>6100000</v>
      </c>
      <c r="J6" s="203">
        <f t="shared" si="0"/>
        <v>6100000</v>
      </c>
      <c r="K6" s="203">
        <f t="shared" si="0"/>
        <v>6100000</v>
      </c>
      <c r="L6" s="203">
        <f t="shared" si="0"/>
        <v>6100000</v>
      </c>
      <c r="M6" s="203">
        <f t="shared" si="0"/>
        <v>6100000</v>
      </c>
      <c r="N6" s="204">
        <f t="shared" si="0"/>
        <v>6100000</v>
      </c>
    </row>
    <row r="7" spans="1:14">
      <c r="A7" s="198"/>
      <c r="B7" s="199" t="s">
        <v>70</v>
      </c>
      <c r="C7" s="203">
        <f>IF(C6&lt;2*878000,102854,0)</f>
        <v>0</v>
      </c>
      <c r="D7" s="203">
        <f t="shared" ref="D7:N7" si="1">IF(D6&lt;2*878000,102854,0)</f>
        <v>0</v>
      </c>
      <c r="E7" s="203">
        <f t="shared" si="1"/>
        <v>0</v>
      </c>
      <c r="F7" s="203">
        <f t="shared" si="1"/>
        <v>0</v>
      </c>
      <c r="G7" s="203">
        <f t="shared" si="1"/>
        <v>0</v>
      </c>
      <c r="H7" s="203">
        <f t="shared" si="1"/>
        <v>0</v>
      </c>
      <c r="I7" s="203">
        <f t="shared" si="1"/>
        <v>0</v>
      </c>
      <c r="J7" s="203">
        <f t="shared" si="1"/>
        <v>0</v>
      </c>
      <c r="K7" s="203">
        <f t="shared" si="1"/>
        <v>0</v>
      </c>
      <c r="L7" s="203">
        <f t="shared" si="1"/>
        <v>0</v>
      </c>
      <c r="M7" s="203">
        <f t="shared" si="1"/>
        <v>0</v>
      </c>
      <c r="N7" s="204">
        <f t="shared" si="1"/>
        <v>0</v>
      </c>
    </row>
    <row r="8" spans="1:14">
      <c r="A8" s="205"/>
      <c r="B8" s="199" t="s">
        <v>71</v>
      </c>
      <c r="C8" s="206"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7">
        <v>0</v>
      </c>
    </row>
    <row r="9" spans="1:14">
      <c r="A9" s="198"/>
      <c r="B9" s="199" t="s">
        <v>72</v>
      </c>
      <c r="C9" s="208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7"/>
    </row>
    <row r="10" spans="1:14">
      <c r="A10" s="198"/>
      <c r="B10" s="199" t="s">
        <v>73</v>
      </c>
      <c r="C10" s="208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7"/>
    </row>
    <row r="11" spans="1:14">
      <c r="A11" s="198"/>
      <c r="B11" s="199"/>
      <c r="C11" s="208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7"/>
    </row>
    <row r="12" spans="1:14">
      <c r="A12" s="407" t="s">
        <v>74</v>
      </c>
      <c r="B12" s="199" t="s">
        <v>75</v>
      </c>
      <c r="C12" s="203">
        <f t="shared" ref="C12:N12" si="2">SUM(C6:C10)</f>
        <v>6100000</v>
      </c>
      <c r="D12" s="206">
        <f t="shared" si="2"/>
        <v>6100000</v>
      </c>
      <c r="E12" s="206">
        <f t="shared" si="2"/>
        <v>6100000</v>
      </c>
      <c r="F12" s="206">
        <f>SUM(F6:F10)</f>
        <v>6100000</v>
      </c>
      <c r="G12" s="206">
        <f t="shared" si="2"/>
        <v>6100000</v>
      </c>
      <c r="H12" s="206">
        <f t="shared" si="2"/>
        <v>6100000</v>
      </c>
      <c r="I12" s="206">
        <f t="shared" si="2"/>
        <v>6100000</v>
      </c>
      <c r="J12" s="206">
        <f t="shared" si="2"/>
        <v>6100000</v>
      </c>
      <c r="K12" s="206">
        <f t="shared" si="2"/>
        <v>6100000</v>
      </c>
      <c r="L12" s="206">
        <f t="shared" si="2"/>
        <v>6100000</v>
      </c>
      <c r="M12" s="206">
        <f t="shared" si="2"/>
        <v>6100000</v>
      </c>
      <c r="N12" s="207">
        <f t="shared" si="2"/>
        <v>6100000</v>
      </c>
    </row>
    <row r="13" spans="1:14">
      <c r="A13" s="407"/>
      <c r="B13" s="199" t="s">
        <v>76</v>
      </c>
      <c r="C13" s="203">
        <f t="shared" ref="C13:N13" si="3">C12-C7</f>
        <v>6100000</v>
      </c>
      <c r="D13" s="209">
        <f t="shared" si="3"/>
        <v>6100000</v>
      </c>
      <c r="E13" s="209">
        <f t="shared" si="3"/>
        <v>6100000</v>
      </c>
      <c r="F13" s="209">
        <f t="shared" si="3"/>
        <v>6100000</v>
      </c>
      <c r="G13" s="209">
        <f t="shared" si="3"/>
        <v>6100000</v>
      </c>
      <c r="H13" s="209">
        <f t="shared" si="3"/>
        <v>6100000</v>
      </c>
      <c r="I13" s="209">
        <f t="shared" si="3"/>
        <v>6100000</v>
      </c>
      <c r="J13" s="209">
        <f t="shared" si="3"/>
        <v>6100000</v>
      </c>
      <c r="K13" s="209">
        <f t="shared" si="3"/>
        <v>6100000</v>
      </c>
      <c r="L13" s="209">
        <f t="shared" si="3"/>
        <v>6100000</v>
      </c>
      <c r="M13" s="209">
        <f t="shared" si="3"/>
        <v>6100000</v>
      </c>
      <c r="N13" s="210">
        <f t="shared" si="3"/>
        <v>6100000</v>
      </c>
    </row>
    <row r="14" spans="1:14">
      <c r="A14" s="198"/>
      <c r="B14" s="199"/>
      <c r="C14" s="203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01"/>
    </row>
    <row r="15" spans="1:14">
      <c r="A15" s="198"/>
      <c r="B15" s="199" t="s">
        <v>77</v>
      </c>
      <c r="C15" s="203">
        <f t="shared" ref="C15:N15" si="4">C12-C17-C20</f>
        <v>5612000</v>
      </c>
      <c r="D15" s="209">
        <f t="shared" si="4"/>
        <v>5612000</v>
      </c>
      <c r="E15" s="209">
        <f t="shared" si="4"/>
        <v>5612000</v>
      </c>
      <c r="F15" s="209">
        <f t="shared" si="4"/>
        <v>5612000</v>
      </c>
      <c r="G15" s="209">
        <f t="shared" si="4"/>
        <v>5612000</v>
      </c>
      <c r="H15" s="209">
        <f t="shared" si="4"/>
        <v>5612000</v>
      </c>
      <c r="I15" s="209">
        <f t="shared" si="4"/>
        <v>5612000</v>
      </c>
      <c r="J15" s="209">
        <f t="shared" si="4"/>
        <v>5612000</v>
      </c>
      <c r="K15" s="209">
        <f t="shared" si="4"/>
        <v>5612000</v>
      </c>
      <c r="L15" s="209">
        <f t="shared" si="4"/>
        <v>5612000</v>
      </c>
      <c r="M15" s="209">
        <f t="shared" si="4"/>
        <v>5612000</v>
      </c>
      <c r="N15" s="210">
        <f t="shared" si="4"/>
        <v>5612000</v>
      </c>
    </row>
    <row r="16" spans="1:14">
      <c r="A16" s="198"/>
      <c r="B16" s="199"/>
      <c r="C16" s="203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201"/>
    </row>
    <row r="17" spans="1:14">
      <c r="A17" s="408" t="s">
        <v>78</v>
      </c>
      <c r="B17" s="211" t="s">
        <v>79</v>
      </c>
      <c r="C17" s="203">
        <f t="shared" ref="C17:N17" si="5">C13*4%</f>
        <v>244000</v>
      </c>
      <c r="D17" s="209">
        <f t="shared" si="5"/>
        <v>244000</v>
      </c>
      <c r="E17" s="209">
        <f t="shared" si="5"/>
        <v>244000</v>
      </c>
      <c r="F17" s="209">
        <f t="shared" si="5"/>
        <v>244000</v>
      </c>
      <c r="G17" s="209">
        <f t="shared" si="5"/>
        <v>244000</v>
      </c>
      <c r="H17" s="209">
        <f t="shared" si="5"/>
        <v>244000</v>
      </c>
      <c r="I17" s="209">
        <f t="shared" si="5"/>
        <v>244000</v>
      </c>
      <c r="J17" s="209">
        <f t="shared" si="5"/>
        <v>244000</v>
      </c>
      <c r="K17" s="209">
        <f t="shared" si="5"/>
        <v>244000</v>
      </c>
      <c r="L17" s="209">
        <f t="shared" si="5"/>
        <v>244000</v>
      </c>
      <c r="M17" s="209">
        <f t="shared" si="5"/>
        <v>244000</v>
      </c>
      <c r="N17" s="210">
        <f t="shared" si="5"/>
        <v>244000</v>
      </c>
    </row>
    <row r="18" spans="1:14">
      <c r="A18" s="408"/>
      <c r="B18" s="211" t="s">
        <v>80</v>
      </c>
      <c r="C18" s="203">
        <f t="shared" ref="C18:N18" si="6">C13*8.5%</f>
        <v>518500.00000000006</v>
      </c>
      <c r="D18" s="209">
        <f t="shared" si="6"/>
        <v>518500.00000000006</v>
      </c>
      <c r="E18" s="209">
        <f t="shared" si="6"/>
        <v>518500.00000000006</v>
      </c>
      <c r="F18" s="209">
        <f t="shared" si="6"/>
        <v>518500.00000000006</v>
      </c>
      <c r="G18" s="209">
        <f t="shared" si="6"/>
        <v>518500.00000000006</v>
      </c>
      <c r="H18" s="209">
        <f t="shared" si="6"/>
        <v>518500.00000000006</v>
      </c>
      <c r="I18" s="209">
        <f t="shared" si="6"/>
        <v>518500.00000000006</v>
      </c>
      <c r="J18" s="209">
        <f t="shared" si="6"/>
        <v>518500.00000000006</v>
      </c>
      <c r="K18" s="209">
        <f t="shared" si="6"/>
        <v>518500.00000000006</v>
      </c>
      <c r="L18" s="209">
        <f t="shared" si="6"/>
        <v>518500.00000000006</v>
      </c>
      <c r="M18" s="209">
        <f t="shared" si="6"/>
        <v>518500.00000000006</v>
      </c>
      <c r="N18" s="210">
        <f t="shared" si="6"/>
        <v>518500.00000000006</v>
      </c>
    </row>
    <row r="19" spans="1:14">
      <c r="A19" s="198"/>
      <c r="B19" s="211"/>
      <c r="C19" s="203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01"/>
    </row>
    <row r="20" spans="1:14">
      <c r="A20" s="408" t="s">
        <v>81</v>
      </c>
      <c r="B20" s="211" t="s">
        <v>82</v>
      </c>
      <c r="C20" s="203">
        <f t="shared" ref="C20:N20" si="7">C13*4%</f>
        <v>244000</v>
      </c>
      <c r="D20" s="209">
        <f t="shared" si="7"/>
        <v>244000</v>
      </c>
      <c r="E20" s="209">
        <f t="shared" si="7"/>
        <v>244000</v>
      </c>
      <c r="F20" s="209">
        <f t="shared" si="7"/>
        <v>244000</v>
      </c>
      <c r="G20" s="209">
        <f t="shared" si="7"/>
        <v>244000</v>
      </c>
      <c r="H20" s="209">
        <f t="shared" si="7"/>
        <v>244000</v>
      </c>
      <c r="I20" s="209">
        <f t="shared" si="7"/>
        <v>244000</v>
      </c>
      <c r="J20" s="209">
        <f t="shared" si="7"/>
        <v>244000</v>
      </c>
      <c r="K20" s="209">
        <f t="shared" si="7"/>
        <v>244000</v>
      </c>
      <c r="L20" s="209">
        <f t="shared" si="7"/>
        <v>244000</v>
      </c>
      <c r="M20" s="209">
        <f t="shared" si="7"/>
        <v>244000</v>
      </c>
      <c r="N20" s="210">
        <f t="shared" si="7"/>
        <v>244000</v>
      </c>
    </row>
    <row r="21" spans="1:14">
      <c r="A21" s="408"/>
      <c r="B21" s="211" t="s">
        <v>80</v>
      </c>
      <c r="C21" s="203">
        <f t="shared" ref="C21:N21" si="8">C13*12%</f>
        <v>732000</v>
      </c>
      <c r="D21" s="209">
        <f t="shared" si="8"/>
        <v>732000</v>
      </c>
      <c r="E21" s="209">
        <f t="shared" si="8"/>
        <v>732000</v>
      </c>
      <c r="F21" s="209">
        <f t="shared" si="8"/>
        <v>732000</v>
      </c>
      <c r="G21" s="209">
        <f t="shared" si="8"/>
        <v>732000</v>
      </c>
      <c r="H21" s="209">
        <f t="shared" si="8"/>
        <v>732000</v>
      </c>
      <c r="I21" s="209">
        <f t="shared" si="8"/>
        <v>732000</v>
      </c>
      <c r="J21" s="209">
        <f t="shared" si="8"/>
        <v>732000</v>
      </c>
      <c r="K21" s="209">
        <f t="shared" si="8"/>
        <v>732000</v>
      </c>
      <c r="L21" s="209">
        <f t="shared" si="8"/>
        <v>732000</v>
      </c>
      <c r="M21" s="209">
        <f t="shared" si="8"/>
        <v>732000</v>
      </c>
      <c r="N21" s="210">
        <f t="shared" si="8"/>
        <v>732000</v>
      </c>
    </row>
    <row r="22" spans="1:14">
      <c r="A22" s="198"/>
      <c r="B22" s="211"/>
      <c r="C22" s="203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1"/>
    </row>
    <row r="23" spans="1:14">
      <c r="A23" s="198" t="s">
        <v>83</v>
      </c>
      <c r="B23" s="212">
        <v>1</v>
      </c>
      <c r="C23" s="203">
        <f>IF(B23=C2,D2*C13,IF(B23=C3,D3*C13,IF(B23=C4,D4*C13,0)))</f>
        <v>31842</v>
      </c>
      <c r="D23" s="209">
        <f>IF(B23=C2,D2*C13,IF(B23=C3,D3*C13,IF(B23=C4,D4*C13,0)))</f>
        <v>31842</v>
      </c>
      <c r="E23" s="209">
        <f>IF(B23=C2,D2*C13,IF(B23=C3,D3*C13,IF(B23=C4,D4*C13,0)))</f>
        <v>31842</v>
      </c>
      <c r="F23" s="209">
        <f>IF(B23=C2,D2*C13,IF(B23=C3,D3*C13,IF(B23=C4,D4*C13,0)))</f>
        <v>31842</v>
      </c>
      <c r="G23" s="209">
        <f>IF(B23=C2,D2*C13,IF(B23=C3,D3*C13,IF(B23=C4,D4*C13,0)))</f>
        <v>31842</v>
      </c>
      <c r="H23" s="209">
        <f>IF(B23=C2,D2*C13,IF(B23=C3,D3*C13,IF(B23=C4,D4*C13,0)))</f>
        <v>31842</v>
      </c>
      <c r="I23" s="209">
        <f>IF(B23=C2,D2*C13,IF(B23=C3,D3*C13,IF(B23=C4,D4*C13,0)))</f>
        <v>31842</v>
      </c>
      <c r="J23" s="209">
        <f>IF(B23=C2,D2*C13,IF(B23=C3,D3*C13,IF(B23=C4,D4*C13,0)))</f>
        <v>31842</v>
      </c>
      <c r="K23" s="209">
        <f>IF(B23=C2,D2*C13,IF(B23=C3,D3*C13,IF(B23=C4,D4*C13,0)))</f>
        <v>31842</v>
      </c>
      <c r="L23" s="209">
        <f>IF(B23=C2,D2*C13,IF(B23=C3,D3*C13,IF(B23=C4,D4*C13,0)))</f>
        <v>31842</v>
      </c>
      <c r="M23" s="209">
        <f>IF(B23=C2,D2*C13,IF(B23=C3,D3*C13,IF(B23=C4,D4*C13,0)))</f>
        <v>31842</v>
      </c>
      <c r="N23" s="210">
        <f>IF(B23=C2,D2*C13,IF(B23=C3,D3*C13,IF(B23=C4,D4*C13,0)))</f>
        <v>31842</v>
      </c>
    </row>
    <row r="24" spans="1:14">
      <c r="A24" s="198"/>
      <c r="B24" s="211"/>
      <c r="C24" s="203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201"/>
    </row>
    <row r="25" spans="1:14">
      <c r="A25" s="198"/>
      <c r="B25" s="211"/>
      <c r="C25" s="203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201"/>
    </row>
    <row r="26" spans="1:14">
      <c r="A26" s="408" t="s">
        <v>84</v>
      </c>
      <c r="B26" s="211" t="s">
        <v>85</v>
      </c>
      <c r="C26" s="203">
        <f t="shared" ref="C26:N26" si="9">2%*C13</f>
        <v>122000</v>
      </c>
      <c r="D26" s="209">
        <f t="shared" si="9"/>
        <v>122000</v>
      </c>
      <c r="E26" s="209">
        <f t="shared" si="9"/>
        <v>122000</v>
      </c>
      <c r="F26" s="209">
        <f t="shared" si="9"/>
        <v>122000</v>
      </c>
      <c r="G26" s="209">
        <f t="shared" si="9"/>
        <v>122000</v>
      </c>
      <c r="H26" s="209">
        <f t="shared" si="9"/>
        <v>122000</v>
      </c>
      <c r="I26" s="209">
        <f t="shared" si="9"/>
        <v>122000</v>
      </c>
      <c r="J26" s="209">
        <f t="shared" si="9"/>
        <v>122000</v>
      </c>
      <c r="K26" s="209">
        <f t="shared" si="9"/>
        <v>122000</v>
      </c>
      <c r="L26" s="209">
        <f t="shared" si="9"/>
        <v>122000</v>
      </c>
      <c r="M26" s="209">
        <f t="shared" si="9"/>
        <v>122000</v>
      </c>
      <c r="N26" s="210">
        <f t="shared" si="9"/>
        <v>122000</v>
      </c>
    </row>
    <row r="27" spans="1:14">
      <c r="A27" s="408"/>
      <c r="B27" s="211" t="s">
        <v>86</v>
      </c>
      <c r="C27" s="203">
        <f t="shared" ref="C27:N27" si="10">C13*3%</f>
        <v>183000</v>
      </c>
      <c r="D27" s="209">
        <f t="shared" si="10"/>
        <v>183000</v>
      </c>
      <c r="E27" s="209">
        <f t="shared" si="10"/>
        <v>183000</v>
      </c>
      <c r="F27" s="209">
        <f t="shared" si="10"/>
        <v>183000</v>
      </c>
      <c r="G27" s="209">
        <f t="shared" si="10"/>
        <v>183000</v>
      </c>
      <c r="H27" s="209">
        <f t="shared" si="10"/>
        <v>183000</v>
      </c>
      <c r="I27" s="209">
        <f t="shared" si="10"/>
        <v>183000</v>
      </c>
      <c r="J27" s="209">
        <f t="shared" si="10"/>
        <v>183000</v>
      </c>
      <c r="K27" s="209">
        <f t="shared" si="10"/>
        <v>183000</v>
      </c>
      <c r="L27" s="209">
        <f t="shared" si="10"/>
        <v>183000</v>
      </c>
      <c r="M27" s="209">
        <f t="shared" si="10"/>
        <v>183000</v>
      </c>
      <c r="N27" s="210">
        <f t="shared" si="10"/>
        <v>183000</v>
      </c>
    </row>
    <row r="28" spans="1:14">
      <c r="A28" s="408"/>
      <c r="B28" s="211" t="s">
        <v>87</v>
      </c>
      <c r="C28" s="203">
        <f t="shared" ref="C28:N28" si="11">C13*4%</f>
        <v>244000</v>
      </c>
      <c r="D28" s="209">
        <f t="shared" si="11"/>
        <v>244000</v>
      </c>
      <c r="E28" s="209">
        <f t="shared" si="11"/>
        <v>244000</v>
      </c>
      <c r="F28" s="209">
        <f t="shared" si="11"/>
        <v>244000</v>
      </c>
      <c r="G28" s="209">
        <f t="shared" si="11"/>
        <v>244000</v>
      </c>
      <c r="H28" s="209">
        <f t="shared" si="11"/>
        <v>244000</v>
      </c>
      <c r="I28" s="209">
        <f t="shared" si="11"/>
        <v>244000</v>
      </c>
      <c r="J28" s="209">
        <f t="shared" si="11"/>
        <v>244000</v>
      </c>
      <c r="K28" s="209">
        <f t="shared" si="11"/>
        <v>244000</v>
      </c>
      <c r="L28" s="209">
        <f t="shared" si="11"/>
        <v>244000</v>
      </c>
      <c r="M28" s="209">
        <f t="shared" si="11"/>
        <v>244000</v>
      </c>
      <c r="N28" s="210">
        <f t="shared" si="11"/>
        <v>244000</v>
      </c>
    </row>
    <row r="29" spans="1:14">
      <c r="A29" s="198"/>
      <c r="B29" s="211"/>
      <c r="C29" s="203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01"/>
    </row>
    <row r="30" spans="1:14">
      <c r="A30" s="198"/>
      <c r="B30" s="211" t="s">
        <v>88</v>
      </c>
      <c r="C30" s="203">
        <f t="shared" ref="C30:N30" si="12">C12*(25/3)%</f>
        <v>508333.33333333337</v>
      </c>
      <c r="D30" s="209">
        <f t="shared" si="12"/>
        <v>508333.33333333337</v>
      </c>
      <c r="E30" s="209">
        <f>E12*(25/3)%</f>
        <v>508333.33333333337</v>
      </c>
      <c r="F30" s="209">
        <f t="shared" si="12"/>
        <v>508333.33333333337</v>
      </c>
      <c r="G30" s="209">
        <f t="shared" si="12"/>
        <v>508333.33333333337</v>
      </c>
      <c r="H30" s="209">
        <f t="shared" si="12"/>
        <v>508333.33333333337</v>
      </c>
      <c r="I30" s="209">
        <f t="shared" si="12"/>
        <v>508333.33333333337</v>
      </c>
      <c r="J30" s="209">
        <f t="shared" si="12"/>
        <v>508333.33333333337</v>
      </c>
      <c r="K30" s="209">
        <f t="shared" si="12"/>
        <v>508333.33333333337</v>
      </c>
      <c r="L30" s="209">
        <f t="shared" si="12"/>
        <v>508333.33333333337</v>
      </c>
      <c r="M30" s="209">
        <f t="shared" si="12"/>
        <v>508333.33333333337</v>
      </c>
      <c r="N30" s="210">
        <f t="shared" si="12"/>
        <v>508333.33333333337</v>
      </c>
    </row>
    <row r="31" spans="1:14">
      <c r="A31" s="198"/>
      <c r="B31" s="211" t="s">
        <v>89</v>
      </c>
      <c r="C31" s="203">
        <f t="shared" ref="C31:N31" si="13">C12*(25/3)%</f>
        <v>508333.33333333337</v>
      </c>
      <c r="D31" s="209">
        <f t="shared" si="13"/>
        <v>508333.33333333337</v>
      </c>
      <c r="E31" s="209">
        <f t="shared" si="13"/>
        <v>508333.33333333337</v>
      </c>
      <c r="F31" s="209">
        <f t="shared" si="13"/>
        <v>508333.33333333337</v>
      </c>
      <c r="G31" s="209">
        <f t="shared" si="13"/>
        <v>508333.33333333337</v>
      </c>
      <c r="H31" s="209">
        <f t="shared" si="13"/>
        <v>508333.33333333337</v>
      </c>
      <c r="I31" s="209">
        <f t="shared" si="13"/>
        <v>508333.33333333337</v>
      </c>
      <c r="J31" s="209">
        <f t="shared" si="13"/>
        <v>508333.33333333337</v>
      </c>
      <c r="K31" s="209">
        <f t="shared" si="13"/>
        <v>508333.33333333337</v>
      </c>
      <c r="L31" s="209">
        <f t="shared" si="13"/>
        <v>508333.33333333337</v>
      </c>
      <c r="M31" s="209">
        <f t="shared" si="13"/>
        <v>508333.33333333337</v>
      </c>
      <c r="N31" s="210">
        <f t="shared" si="13"/>
        <v>508333.33333333337</v>
      </c>
    </row>
    <row r="32" spans="1:14">
      <c r="A32" s="198"/>
      <c r="B32" s="211" t="s">
        <v>90</v>
      </c>
      <c r="C32" s="203">
        <f t="shared" ref="C32:N32" si="14">C31*12%</f>
        <v>61000</v>
      </c>
      <c r="D32" s="209">
        <f t="shared" si="14"/>
        <v>61000</v>
      </c>
      <c r="E32" s="209">
        <f t="shared" si="14"/>
        <v>61000</v>
      </c>
      <c r="F32" s="209">
        <f t="shared" si="14"/>
        <v>61000</v>
      </c>
      <c r="G32" s="209">
        <f t="shared" si="14"/>
        <v>61000</v>
      </c>
      <c r="H32" s="209">
        <f t="shared" si="14"/>
        <v>61000</v>
      </c>
      <c r="I32" s="209">
        <f t="shared" si="14"/>
        <v>61000</v>
      </c>
      <c r="J32" s="209">
        <f t="shared" si="14"/>
        <v>61000</v>
      </c>
      <c r="K32" s="209">
        <f t="shared" si="14"/>
        <v>61000</v>
      </c>
      <c r="L32" s="209">
        <f t="shared" si="14"/>
        <v>61000</v>
      </c>
      <c r="M32" s="209">
        <f t="shared" si="14"/>
        <v>61000</v>
      </c>
      <c r="N32" s="210">
        <f t="shared" si="14"/>
        <v>61000</v>
      </c>
    </row>
    <row r="33" spans="1:14">
      <c r="A33" s="198"/>
      <c r="B33" s="211" t="s">
        <v>91</v>
      </c>
      <c r="C33" s="203">
        <f t="shared" ref="C33:N33" si="15">C6*(25/6)%</f>
        <v>254166.66666666669</v>
      </c>
      <c r="D33" s="209">
        <f t="shared" si="15"/>
        <v>254166.66666666669</v>
      </c>
      <c r="E33" s="209">
        <f t="shared" si="15"/>
        <v>254166.66666666669</v>
      </c>
      <c r="F33" s="209">
        <f t="shared" si="15"/>
        <v>254166.66666666669</v>
      </c>
      <c r="G33" s="209">
        <f t="shared" si="15"/>
        <v>254166.66666666669</v>
      </c>
      <c r="H33" s="209">
        <f t="shared" si="15"/>
        <v>254166.66666666669</v>
      </c>
      <c r="I33" s="209">
        <f t="shared" si="15"/>
        <v>254166.66666666669</v>
      </c>
      <c r="J33" s="209">
        <f t="shared" si="15"/>
        <v>254166.66666666669</v>
      </c>
      <c r="K33" s="209">
        <f t="shared" si="15"/>
        <v>254166.66666666669</v>
      </c>
      <c r="L33" s="209">
        <f t="shared" si="15"/>
        <v>254166.66666666669</v>
      </c>
      <c r="M33" s="209">
        <f t="shared" si="15"/>
        <v>254166.66666666669</v>
      </c>
      <c r="N33" s="210">
        <f t="shared" si="15"/>
        <v>254166.66666666669</v>
      </c>
    </row>
    <row r="34" spans="1:14">
      <c r="A34" s="198"/>
      <c r="B34" s="199"/>
      <c r="C34" s="203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01"/>
    </row>
    <row r="35" spans="1:14">
      <c r="A35" s="198"/>
      <c r="B35" s="199" t="s">
        <v>92</v>
      </c>
      <c r="C35" s="203">
        <f t="shared" ref="C35:N35" si="16">SUM(C15,C17:C33)</f>
        <v>9263175.333333334</v>
      </c>
      <c r="D35" s="209">
        <f t="shared" si="16"/>
        <v>9263175.333333334</v>
      </c>
      <c r="E35" s="209">
        <f t="shared" si="16"/>
        <v>9263175.333333334</v>
      </c>
      <c r="F35" s="209">
        <f t="shared" si="16"/>
        <v>9263175.333333334</v>
      </c>
      <c r="G35" s="209">
        <f t="shared" si="16"/>
        <v>9263175.333333334</v>
      </c>
      <c r="H35" s="209">
        <f t="shared" si="16"/>
        <v>9263175.333333334</v>
      </c>
      <c r="I35" s="209">
        <f t="shared" si="16"/>
        <v>9263175.333333334</v>
      </c>
      <c r="J35" s="209">
        <f t="shared" si="16"/>
        <v>9263175.333333334</v>
      </c>
      <c r="K35" s="209">
        <f t="shared" si="16"/>
        <v>9263175.333333334</v>
      </c>
      <c r="L35" s="209">
        <f t="shared" si="16"/>
        <v>9263175.333333334</v>
      </c>
      <c r="M35" s="209">
        <f t="shared" si="16"/>
        <v>9263175.333333334</v>
      </c>
      <c r="N35" s="210">
        <f t="shared" si="16"/>
        <v>9263175.333333334</v>
      </c>
    </row>
    <row r="36" spans="1:14">
      <c r="A36" s="198"/>
      <c r="B36" s="199" t="s">
        <v>93</v>
      </c>
      <c r="C36" s="203">
        <f>C35-SUM(C30:C33)</f>
        <v>7931342</v>
      </c>
      <c r="D36" s="209">
        <f t="shared" ref="D36:N36" si="17">D35-SUM(D30:D33)</f>
        <v>7931342</v>
      </c>
      <c r="E36" s="209">
        <f t="shared" si="17"/>
        <v>7931342</v>
      </c>
      <c r="F36" s="209">
        <f t="shared" si="17"/>
        <v>7931342</v>
      </c>
      <c r="G36" s="209">
        <f t="shared" si="17"/>
        <v>7931342</v>
      </c>
      <c r="H36" s="209">
        <f t="shared" si="17"/>
        <v>7931342</v>
      </c>
      <c r="I36" s="209">
        <f t="shared" si="17"/>
        <v>7931342</v>
      </c>
      <c r="J36" s="209">
        <f t="shared" si="17"/>
        <v>7931342</v>
      </c>
      <c r="K36" s="209">
        <f t="shared" si="17"/>
        <v>7931342</v>
      </c>
      <c r="L36" s="209">
        <f t="shared" si="17"/>
        <v>7931342</v>
      </c>
      <c r="M36" s="209">
        <f t="shared" si="17"/>
        <v>7931342</v>
      </c>
      <c r="N36" s="210">
        <f t="shared" si="17"/>
        <v>7931342</v>
      </c>
    </row>
    <row r="37" spans="1:14">
      <c r="A37" s="198"/>
      <c r="B37" s="199" t="s">
        <v>94</v>
      </c>
      <c r="C37" s="213">
        <v>2</v>
      </c>
      <c r="D37" s="213">
        <f>C37</f>
        <v>2</v>
      </c>
      <c r="E37" s="213">
        <f t="shared" ref="E37:N37" si="18">D37</f>
        <v>2</v>
      </c>
      <c r="F37" s="213">
        <f t="shared" si="18"/>
        <v>2</v>
      </c>
      <c r="G37" s="213">
        <f t="shared" si="18"/>
        <v>2</v>
      </c>
      <c r="H37" s="213">
        <f t="shared" si="18"/>
        <v>2</v>
      </c>
      <c r="I37" s="213">
        <f t="shared" si="18"/>
        <v>2</v>
      </c>
      <c r="J37" s="213">
        <f t="shared" si="18"/>
        <v>2</v>
      </c>
      <c r="K37" s="213">
        <f t="shared" si="18"/>
        <v>2</v>
      </c>
      <c r="L37" s="213">
        <f t="shared" si="18"/>
        <v>2</v>
      </c>
      <c r="M37" s="213">
        <f t="shared" si="18"/>
        <v>2</v>
      </c>
      <c r="N37" s="214">
        <f t="shared" si="18"/>
        <v>2</v>
      </c>
    </row>
    <row r="38" spans="1:14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201"/>
    </row>
    <row r="39" spans="1:14">
      <c r="A39" s="198"/>
      <c r="B39" s="199"/>
      <c r="C39" s="200">
        <f>(C35*100%/C13)-1</f>
        <v>0.51855333333333342</v>
      </c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1"/>
    </row>
    <row r="40" spans="1:14">
      <c r="A40" s="198"/>
      <c r="B40" s="199"/>
      <c r="C40" s="206" t="s">
        <v>55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201"/>
    </row>
    <row r="41" spans="1:14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01"/>
    </row>
    <row r="42" spans="1:14">
      <c r="A42" s="198"/>
      <c r="B42" s="199"/>
      <c r="C42" s="199" t="s">
        <v>93</v>
      </c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201"/>
    </row>
    <row r="43" spans="1:14">
      <c r="A43" s="198"/>
      <c r="B43" s="199"/>
      <c r="C43" s="199" t="s">
        <v>95</v>
      </c>
      <c r="D43" s="199">
        <v>1</v>
      </c>
      <c r="E43" s="199">
        <v>2</v>
      </c>
      <c r="F43" s="199">
        <v>3</v>
      </c>
      <c r="G43" s="199">
        <v>4</v>
      </c>
      <c r="H43" s="199"/>
      <c r="I43" s="199"/>
      <c r="J43" s="199"/>
      <c r="K43" s="199"/>
      <c r="L43" s="199"/>
      <c r="M43" s="199"/>
      <c r="N43" s="201"/>
    </row>
    <row r="44" spans="1:14">
      <c r="A44" s="198"/>
      <c r="B44" s="199"/>
      <c r="C44" s="199"/>
      <c r="D44" s="209">
        <f>SUM(C36:E36)</f>
        <v>23794026</v>
      </c>
      <c r="E44" s="209">
        <f>SUM(F36:H36,C30:H30)</f>
        <v>26844025.999999993</v>
      </c>
      <c r="F44" s="209">
        <f>SUM(I36:K36)</f>
        <v>23794026</v>
      </c>
      <c r="G44" s="209">
        <f>SUM(L36:N36,C33:N33,C32:N32,C31:N31,I30:N30)</f>
        <v>36726026.000000015</v>
      </c>
      <c r="H44" s="199"/>
      <c r="I44" s="199"/>
      <c r="J44" s="199"/>
      <c r="K44" s="199"/>
      <c r="L44" s="199"/>
      <c r="M44" s="199"/>
      <c r="N44" s="201"/>
    </row>
    <row r="45" spans="1:14">
      <c r="A45" s="198"/>
      <c r="B45" s="199"/>
      <c r="C45" s="199"/>
      <c r="D45" s="215">
        <f>D44*$C$37</f>
        <v>47588052</v>
      </c>
      <c r="E45" s="215">
        <f t="shared" ref="E45:G45" si="19">E44*$C$37</f>
        <v>53688051.999999985</v>
      </c>
      <c r="F45" s="215">
        <f t="shared" si="19"/>
        <v>47588052</v>
      </c>
      <c r="G45" s="215">
        <f t="shared" si="19"/>
        <v>73452052.00000003</v>
      </c>
      <c r="H45" s="199"/>
      <c r="I45" s="199"/>
      <c r="J45" s="199"/>
      <c r="K45" s="199"/>
      <c r="L45" s="199"/>
      <c r="M45" s="199"/>
      <c r="N45" s="201"/>
    </row>
    <row r="46" spans="1:14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1"/>
    </row>
    <row r="47" spans="1:14">
      <c r="A47" s="198"/>
      <c r="B47" s="199" t="s">
        <v>96</v>
      </c>
      <c r="C47" s="216">
        <f>SUM(C15,C17:C18,C20:C21,C23,C26:C28)</f>
        <v>7931342</v>
      </c>
      <c r="D47" s="216">
        <f>SUM(D15,D17:D18,D20:D21,D23,D26:D28)</f>
        <v>7931342</v>
      </c>
      <c r="E47" s="216">
        <f>SUM(E15,E17:E18,E20:E21,E23,E26:E28)</f>
        <v>7931342</v>
      </c>
      <c r="F47" s="216">
        <f>SUM(F15,F17:F18,F20:F21,F23,F26:F28)</f>
        <v>7931342</v>
      </c>
      <c r="G47" s="216">
        <f>SUM(G15,G17:G18,G20:G21,G23,G26:G28)</f>
        <v>7931342</v>
      </c>
      <c r="H47" s="216">
        <f>SUM(H15,H17:H18,H20:H21,H23,H26:H28,C30:H30)</f>
        <v>10981342.000000004</v>
      </c>
      <c r="I47" s="216">
        <f>SUM(I15,I17:I18,I20:I21,I23,I26:I28)</f>
        <v>7931342</v>
      </c>
      <c r="J47" s="216">
        <f t="shared" ref="J47:M47" si="20">SUM(J15,J17:J18,J20:J21,J23,J26:J28)</f>
        <v>7931342</v>
      </c>
      <c r="K47" s="216">
        <f t="shared" si="20"/>
        <v>7931342</v>
      </c>
      <c r="L47" s="216">
        <f t="shared" si="20"/>
        <v>7931342</v>
      </c>
      <c r="M47" s="216">
        <f t="shared" si="20"/>
        <v>7931342</v>
      </c>
      <c r="N47" s="217">
        <f>SUM(N15,N17:N18,N20:N21,N23,N26:N28,I30:N30,C33:N33)</f>
        <v>14031341.999999996</v>
      </c>
    </row>
    <row r="48" spans="1:14" ht="15.75" thickBot="1">
      <c r="A48" s="218"/>
      <c r="B48" s="219" t="s">
        <v>97</v>
      </c>
      <c r="C48" s="220">
        <f>SUM(C47:N47)</f>
        <v>104326104</v>
      </c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22"/>
    </row>
    <row r="49" spans="1:14">
      <c r="A49" s="223" t="s">
        <v>185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5"/>
    </row>
    <row r="50" spans="1:14">
      <c r="A50" s="226"/>
      <c r="B50" s="227" t="s">
        <v>68</v>
      </c>
      <c r="C50" s="227">
        <v>1</v>
      </c>
      <c r="D50" s="228">
        <f>0.00522</f>
        <v>5.2199999999999998E-3</v>
      </c>
      <c r="E50" s="227"/>
      <c r="F50" s="227"/>
      <c r="G50" s="227"/>
      <c r="H50" s="227"/>
      <c r="I50" s="227"/>
      <c r="J50" s="227"/>
      <c r="K50" s="227"/>
      <c r="L50" s="227"/>
      <c r="M50" s="227"/>
      <c r="N50" s="229"/>
    </row>
    <row r="51" spans="1:14">
      <c r="A51" s="226"/>
      <c r="B51" s="227"/>
      <c r="C51" s="227">
        <v>2</v>
      </c>
      <c r="D51" s="228">
        <f>1.044%</f>
        <v>1.044E-2</v>
      </c>
      <c r="E51" s="227"/>
      <c r="F51" s="227"/>
      <c r="G51" s="227"/>
      <c r="H51" s="227"/>
      <c r="I51" s="227"/>
      <c r="J51" s="227"/>
      <c r="K51" s="227"/>
      <c r="L51" s="227"/>
      <c r="M51" s="227"/>
      <c r="N51" s="229"/>
    </row>
    <row r="52" spans="1:14">
      <c r="A52" s="226"/>
      <c r="B52" s="227"/>
      <c r="C52" s="227">
        <v>3</v>
      </c>
      <c r="D52" s="230">
        <v>2.436E-2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29"/>
    </row>
    <row r="53" spans="1:14">
      <c r="A53" s="226"/>
      <c r="B53" s="227" t="s">
        <v>101</v>
      </c>
      <c r="C53" s="231">
        <v>7.0000000000000007E-2</v>
      </c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9"/>
    </row>
    <row r="54" spans="1:14">
      <c r="A54" s="226"/>
      <c r="B54" s="227" t="s">
        <v>69</v>
      </c>
      <c r="C54" s="232">
        <f>C6*(1+C53)</f>
        <v>6527000</v>
      </c>
      <c r="D54" s="232">
        <f>C54</f>
        <v>6527000</v>
      </c>
      <c r="E54" s="232">
        <f t="shared" ref="E54:N54" si="21">D54</f>
        <v>6527000</v>
      </c>
      <c r="F54" s="232">
        <f t="shared" si="21"/>
        <v>6527000</v>
      </c>
      <c r="G54" s="232">
        <f t="shared" si="21"/>
        <v>6527000</v>
      </c>
      <c r="H54" s="232">
        <f t="shared" si="21"/>
        <v>6527000</v>
      </c>
      <c r="I54" s="232">
        <f t="shared" si="21"/>
        <v>6527000</v>
      </c>
      <c r="J54" s="232">
        <f t="shared" si="21"/>
        <v>6527000</v>
      </c>
      <c r="K54" s="232">
        <f t="shared" si="21"/>
        <v>6527000</v>
      </c>
      <c r="L54" s="232">
        <f t="shared" si="21"/>
        <v>6527000</v>
      </c>
      <c r="M54" s="232">
        <f t="shared" si="21"/>
        <v>6527000</v>
      </c>
      <c r="N54" s="233">
        <f t="shared" si="21"/>
        <v>6527000</v>
      </c>
    </row>
    <row r="55" spans="1:14">
      <c r="A55" s="226"/>
      <c r="B55" s="227" t="s">
        <v>70</v>
      </c>
      <c r="C55" s="232">
        <f>IF(C54&lt;2*908526,106454,0)</f>
        <v>0</v>
      </c>
      <c r="D55" s="232">
        <f t="shared" ref="D55:N55" si="22">IF(D54&lt;2*908526,106454,0)</f>
        <v>0</v>
      </c>
      <c r="E55" s="232">
        <f t="shared" si="22"/>
        <v>0</v>
      </c>
      <c r="F55" s="232">
        <f t="shared" si="22"/>
        <v>0</v>
      </c>
      <c r="G55" s="232">
        <f t="shared" si="22"/>
        <v>0</v>
      </c>
      <c r="H55" s="232">
        <f t="shared" si="22"/>
        <v>0</v>
      </c>
      <c r="I55" s="232">
        <f t="shared" si="22"/>
        <v>0</v>
      </c>
      <c r="J55" s="232">
        <f t="shared" si="22"/>
        <v>0</v>
      </c>
      <c r="K55" s="232">
        <f t="shared" si="22"/>
        <v>0</v>
      </c>
      <c r="L55" s="232">
        <f t="shared" si="22"/>
        <v>0</v>
      </c>
      <c r="M55" s="232">
        <f t="shared" si="22"/>
        <v>0</v>
      </c>
      <c r="N55" s="232">
        <f t="shared" si="22"/>
        <v>0</v>
      </c>
    </row>
    <row r="56" spans="1:14">
      <c r="A56" s="234"/>
      <c r="B56" s="227" t="s">
        <v>71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235">
        <v>0</v>
      </c>
      <c r="L56" s="235">
        <v>0</v>
      </c>
      <c r="M56" s="235">
        <v>0</v>
      </c>
      <c r="N56" s="236">
        <v>0</v>
      </c>
    </row>
    <row r="57" spans="1:14">
      <c r="A57" s="226"/>
      <c r="B57" s="227" t="s">
        <v>72</v>
      </c>
      <c r="C57" s="237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6"/>
    </row>
    <row r="58" spans="1:14">
      <c r="A58" s="226"/>
      <c r="B58" s="227" t="s">
        <v>73</v>
      </c>
      <c r="C58" s="237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6"/>
    </row>
    <row r="59" spans="1:14">
      <c r="A59" s="226"/>
      <c r="B59" s="227"/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</row>
    <row r="60" spans="1:14">
      <c r="A60" s="409" t="s">
        <v>74</v>
      </c>
      <c r="B60" s="227" t="s">
        <v>75</v>
      </c>
      <c r="C60" s="232">
        <f t="shared" ref="C60:E60" si="23">SUM(C54:C58)</f>
        <v>6527000</v>
      </c>
      <c r="D60" s="235">
        <f t="shared" si="23"/>
        <v>6527000</v>
      </c>
      <c r="E60" s="235">
        <f t="shared" si="23"/>
        <v>6527000</v>
      </c>
      <c r="F60" s="235">
        <f>SUM(F54:F58)</f>
        <v>6527000</v>
      </c>
      <c r="G60" s="235">
        <f t="shared" ref="G60:N60" si="24">SUM(G54:G58)</f>
        <v>6527000</v>
      </c>
      <c r="H60" s="235">
        <f t="shared" si="24"/>
        <v>6527000</v>
      </c>
      <c r="I60" s="235">
        <f t="shared" si="24"/>
        <v>6527000</v>
      </c>
      <c r="J60" s="235">
        <f t="shared" si="24"/>
        <v>6527000</v>
      </c>
      <c r="K60" s="235">
        <f t="shared" si="24"/>
        <v>6527000</v>
      </c>
      <c r="L60" s="235">
        <f t="shared" si="24"/>
        <v>6527000</v>
      </c>
      <c r="M60" s="235">
        <f t="shared" si="24"/>
        <v>6527000</v>
      </c>
      <c r="N60" s="236">
        <f t="shared" si="24"/>
        <v>6527000</v>
      </c>
    </row>
    <row r="61" spans="1:14">
      <c r="A61" s="409"/>
      <c r="B61" s="227" t="s">
        <v>76</v>
      </c>
      <c r="C61" s="232">
        <f t="shared" ref="C61:N61" si="25">C60-C55</f>
        <v>6527000</v>
      </c>
      <c r="D61" s="238">
        <f t="shared" si="25"/>
        <v>6527000</v>
      </c>
      <c r="E61" s="238">
        <f t="shared" si="25"/>
        <v>6527000</v>
      </c>
      <c r="F61" s="238">
        <f t="shared" si="25"/>
        <v>6527000</v>
      </c>
      <c r="G61" s="238">
        <f t="shared" si="25"/>
        <v>6527000</v>
      </c>
      <c r="H61" s="238">
        <f t="shared" si="25"/>
        <v>6527000</v>
      </c>
      <c r="I61" s="238">
        <f t="shared" si="25"/>
        <v>6527000</v>
      </c>
      <c r="J61" s="238">
        <f t="shared" si="25"/>
        <v>6527000</v>
      </c>
      <c r="K61" s="238">
        <f t="shared" si="25"/>
        <v>6527000</v>
      </c>
      <c r="L61" s="238">
        <f t="shared" si="25"/>
        <v>6527000</v>
      </c>
      <c r="M61" s="238">
        <f t="shared" si="25"/>
        <v>6527000</v>
      </c>
      <c r="N61" s="239">
        <f t="shared" si="25"/>
        <v>6527000</v>
      </c>
    </row>
    <row r="62" spans="1:14">
      <c r="A62" s="226"/>
      <c r="B62" s="227"/>
      <c r="C62" s="232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9"/>
    </row>
    <row r="63" spans="1:14">
      <c r="A63" s="226"/>
      <c r="B63" s="227" t="s">
        <v>77</v>
      </c>
      <c r="C63" s="232">
        <f t="shared" ref="C63:N63" si="26">C60-C65-C68</f>
        <v>6004840</v>
      </c>
      <c r="D63" s="238">
        <f t="shared" si="26"/>
        <v>6004840</v>
      </c>
      <c r="E63" s="238">
        <f t="shared" si="26"/>
        <v>6004840</v>
      </c>
      <c r="F63" s="238">
        <f t="shared" si="26"/>
        <v>6004840</v>
      </c>
      <c r="G63" s="238">
        <f t="shared" si="26"/>
        <v>6004840</v>
      </c>
      <c r="H63" s="238">
        <f t="shared" si="26"/>
        <v>6004840</v>
      </c>
      <c r="I63" s="238">
        <f t="shared" si="26"/>
        <v>6004840</v>
      </c>
      <c r="J63" s="238">
        <f t="shared" si="26"/>
        <v>6004840</v>
      </c>
      <c r="K63" s="238">
        <f t="shared" si="26"/>
        <v>6004840</v>
      </c>
      <c r="L63" s="238">
        <f t="shared" si="26"/>
        <v>6004840</v>
      </c>
      <c r="M63" s="238">
        <f t="shared" si="26"/>
        <v>6004840</v>
      </c>
      <c r="N63" s="239">
        <f t="shared" si="26"/>
        <v>6004840</v>
      </c>
    </row>
    <row r="64" spans="1:14">
      <c r="A64" s="226"/>
      <c r="B64" s="227"/>
      <c r="C64" s="232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9"/>
    </row>
    <row r="65" spans="1:14">
      <c r="A65" s="410" t="s">
        <v>78</v>
      </c>
      <c r="B65" s="240" t="s">
        <v>79</v>
      </c>
      <c r="C65" s="232">
        <f t="shared" ref="C65:N65" si="27">C61*4%</f>
        <v>261080</v>
      </c>
      <c r="D65" s="238">
        <f t="shared" si="27"/>
        <v>261080</v>
      </c>
      <c r="E65" s="238">
        <f t="shared" si="27"/>
        <v>261080</v>
      </c>
      <c r="F65" s="238">
        <f t="shared" si="27"/>
        <v>261080</v>
      </c>
      <c r="G65" s="238">
        <f t="shared" si="27"/>
        <v>261080</v>
      </c>
      <c r="H65" s="238">
        <f t="shared" si="27"/>
        <v>261080</v>
      </c>
      <c r="I65" s="238">
        <f t="shared" si="27"/>
        <v>261080</v>
      </c>
      <c r="J65" s="238">
        <f t="shared" si="27"/>
        <v>261080</v>
      </c>
      <c r="K65" s="238">
        <f t="shared" si="27"/>
        <v>261080</v>
      </c>
      <c r="L65" s="238">
        <f t="shared" si="27"/>
        <v>261080</v>
      </c>
      <c r="M65" s="238">
        <f t="shared" si="27"/>
        <v>261080</v>
      </c>
      <c r="N65" s="239">
        <f t="shared" si="27"/>
        <v>261080</v>
      </c>
    </row>
    <row r="66" spans="1:14">
      <c r="A66" s="410"/>
      <c r="B66" s="240" t="s">
        <v>80</v>
      </c>
      <c r="C66" s="232">
        <f t="shared" ref="C66:N66" si="28">C61*8.5%</f>
        <v>554795</v>
      </c>
      <c r="D66" s="238">
        <f t="shared" si="28"/>
        <v>554795</v>
      </c>
      <c r="E66" s="238">
        <f t="shared" si="28"/>
        <v>554795</v>
      </c>
      <c r="F66" s="238">
        <f t="shared" si="28"/>
        <v>554795</v>
      </c>
      <c r="G66" s="238">
        <f t="shared" si="28"/>
        <v>554795</v>
      </c>
      <c r="H66" s="238">
        <f t="shared" si="28"/>
        <v>554795</v>
      </c>
      <c r="I66" s="238">
        <f t="shared" si="28"/>
        <v>554795</v>
      </c>
      <c r="J66" s="238">
        <f t="shared" si="28"/>
        <v>554795</v>
      </c>
      <c r="K66" s="238">
        <f t="shared" si="28"/>
        <v>554795</v>
      </c>
      <c r="L66" s="238">
        <f t="shared" si="28"/>
        <v>554795</v>
      </c>
      <c r="M66" s="238">
        <f t="shared" si="28"/>
        <v>554795</v>
      </c>
      <c r="N66" s="239">
        <f t="shared" si="28"/>
        <v>554795</v>
      </c>
    </row>
    <row r="67" spans="1:14">
      <c r="A67" s="226"/>
      <c r="B67" s="240"/>
      <c r="C67" s="232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9"/>
    </row>
    <row r="68" spans="1:14">
      <c r="A68" s="410" t="s">
        <v>81</v>
      </c>
      <c r="B68" s="240" t="s">
        <v>82</v>
      </c>
      <c r="C68" s="232">
        <f t="shared" ref="C68:N68" si="29">C61*4%</f>
        <v>261080</v>
      </c>
      <c r="D68" s="238">
        <f t="shared" si="29"/>
        <v>261080</v>
      </c>
      <c r="E68" s="238">
        <f t="shared" si="29"/>
        <v>261080</v>
      </c>
      <c r="F68" s="238">
        <f t="shared" si="29"/>
        <v>261080</v>
      </c>
      <c r="G68" s="238">
        <f t="shared" si="29"/>
        <v>261080</v>
      </c>
      <c r="H68" s="238">
        <f t="shared" si="29"/>
        <v>261080</v>
      </c>
      <c r="I68" s="238">
        <f t="shared" si="29"/>
        <v>261080</v>
      </c>
      <c r="J68" s="238">
        <f t="shared" si="29"/>
        <v>261080</v>
      </c>
      <c r="K68" s="238">
        <f t="shared" si="29"/>
        <v>261080</v>
      </c>
      <c r="L68" s="238">
        <f t="shared" si="29"/>
        <v>261080</v>
      </c>
      <c r="M68" s="238">
        <f t="shared" si="29"/>
        <v>261080</v>
      </c>
      <c r="N68" s="239">
        <f t="shared" si="29"/>
        <v>261080</v>
      </c>
    </row>
    <row r="69" spans="1:14">
      <c r="A69" s="410"/>
      <c r="B69" s="240" t="s">
        <v>80</v>
      </c>
      <c r="C69" s="232">
        <f t="shared" ref="C69:N69" si="30">C61*12%</f>
        <v>783240</v>
      </c>
      <c r="D69" s="238">
        <f t="shared" si="30"/>
        <v>783240</v>
      </c>
      <c r="E69" s="238">
        <f t="shared" si="30"/>
        <v>783240</v>
      </c>
      <c r="F69" s="238">
        <f t="shared" si="30"/>
        <v>783240</v>
      </c>
      <c r="G69" s="238">
        <f t="shared" si="30"/>
        <v>783240</v>
      </c>
      <c r="H69" s="238">
        <f t="shared" si="30"/>
        <v>783240</v>
      </c>
      <c r="I69" s="238">
        <f t="shared" si="30"/>
        <v>783240</v>
      </c>
      <c r="J69" s="238">
        <f t="shared" si="30"/>
        <v>783240</v>
      </c>
      <c r="K69" s="238">
        <f t="shared" si="30"/>
        <v>783240</v>
      </c>
      <c r="L69" s="238">
        <f t="shared" si="30"/>
        <v>783240</v>
      </c>
      <c r="M69" s="238">
        <f t="shared" si="30"/>
        <v>783240</v>
      </c>
      <c r="N69" s="239">
        <f t="shared" si="30"/>
        <v>783240</v>
      </c>
    </row>
    <row r="70" spans="1:14">
      <c r="A70" s="226"/>
      <c r="B70" s="240"/>
      <c r="C70" s="232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9"/>
    </row>
    <row r="71" spans="1:14">
      <c r="A71" s="226" t="s">
        <v>83</v>
      </c>
      <c r="B71" s="241">
        <v>1</v>
      </c>
      <c r="C71" s="232">
        <f>IF(B71=C50,D50*C61,IF(B71=C51,D51*C61,IF(B71=C52,D52*C61,0)))</f>
        <v>34070.94</v>
      </c>
      <c r="D71" s="238">
        <f>IF(B71=C50,D50*C61,IF(B71=C51,D51*C61,IF(B71=C52,D52*C61,0)))</f>
        <v>34070.94</v>
      </c>
      <c r="E71" s="238">
        <f>IF(B71=C50,D50*C61,IF(B71=C51,D51*C61,IF(B71=C52,D52*C61,0)))</f>
        <v>34070.94</v>
      </c>
      <c r="F71" s="238">
        <f>IF(B71=C50,D50*C61,IF(B71=C51,D51*C61,IF(B71=C52,D52*C61,0)))</f>
        <v>34070.94</v>
      </c>
      <c r="G71" s="238">
        <f>IF(B71=C50,D50*C61,IF(B71=C51,D51*C61,IF(B71=C52,D52*C61,0)))</f>
        <v>34070.94</v>
      </c>
      <c r="H71" s="238">
        <f>IF(B71=C50,D50*C61,IF(B71=C51,D51*C61,IF(B71=C52,D52*C61,0)))</f>
        <v>34070.94</v>
      </c>
      <c r="I71" s="238">
        <f>IF(B71=C50,D50*C61,IF(B71=C51,D51*C61,IF(B71=C52,D52*C61,0)))</f>
        <v>34070.94</v>
      </c>
      <c r="J71" s="238">
        <f>IF(B71=C50,D50*C61,IF(B71=C51,D51*C61,IF(B71=C52,D52*C61,0)))</f>
        <v>34070.94</v>
      </c>
      <c r="K71" s="238">
        <f>IF(B71=C50,D50*C61,IF(B71=C51,D51*C61,IF(B71=C52,D52*C61,0)))</f>
        <v>34070.94</v>
      </c>
      <c r="L71" s="238">
        <f>IF(B71=C50,D50*C61,IF(B71=C51,D51*C61,IF(B71=C52,D52*C61,0)))</f>
        <v>34070.94</v>
      </c>
      <c r="M71" s="238">
        <f>IF(B71=C50,D50*C61,IF(B71=C51,D51*C61,IF(B71=C52,D52*C61,0)))</f>
        <v>34070.94</v>
      </c>
      <c r="N71" s="239">
        <f>IF(B71=C50,D50*C61,IF(B71=C51,D51*C61,IF(B71=C52,D52*C61,0)))</f>
        <v>34070.94</v>
      </c>
    </row>
    <row r="72" spans="1:14">
      <c r="A72" s="226"/>
      <c r="B72" s="240"/>
      <c r="C72" s="232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9"/>
    </row>
    <row r="73" spans="1:14">
      <c r="A73" s="226"/>
      <c r="B73" s="240"/>
      <c r="C73" s="232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9"/>
    </row>
    <row r="74" spans="1:14">
      <c r="A74" s="410" t="s">
        <v>84</v>
      </c>
      <c r="B74" s="240" t="s">
        <v>85</v>
      </c>
      <c r="C74" s="232">
        <f t="shared" ref="C74:N74" si="31">2%*C61</f>
        <v>130540</v>
      </c>
      <c r="D74" s="238">
        <f t="shared" si="31"/>
        <v>130540</v>
      </c>
      <c r="E74" s="238">
        <f t="shared" si="31"/>
        <v>130540</v>
      </c>
      <c r="F74" s="238">
        <f t="shared" si="31"/>
        <v>130540</v>
      </c>
      <c r="G74" s="238">
        <f t="shared" si="31"/>
        <v>130540</v>
      </c>
      <c r="H74" s="238">
        <f t="shared" si="31"/>
        <v>130540</v>
      </c>
      <c r="I74" s="238">
        <f t="shared" si="31"/>
        <v>130540</v>
      </c>
      <c r="J74" s="238">
        <f t="shared" si="31"/>
        <v>130540</v>
      </c>
      <c r="K74" s="238">
        <f t="shared" si="31"/>
        <v>130540</v>
      </c>
      <c r="L74" s="238">
        <f t="shared" si="31"/>
        <v>130540</v>
      </c>
      <c r="M74" s="238">
        <f t="shared" si="31"/>
        <v>130540</v>
      </c>
      <c r="N74" s="239">
        <f t="shared" si="31"/>
        <v>130540</v>
      </c>
    </row>
    <row r="75" spans="1:14">
      <c r="A75" s="410"/>
      <c r="B75" s="240" t="s">
        <v>86</v>
      </c>
      <c r="C75" s="232">
        <f t="shared" ref="C75:N75" si="32">C61*3%</f>
        <v>195810</v>
      </c>
      <c r="D75" s="238">
        <f t="shared" si="32"/>
        <v>195810</v>
      </c>
      <c r="E75" s="238">
        <f t="shared" si="32"/>
        <v>195810</v>
      </c>
      <c r="F75" s="238">
        <f t="shared" si="32"/>
        <v>195810</v>
      </c>
      <c r="G75" s="238">
        <f t="shared" si="32"/>
        <v>195810</v>
      </c>
      <c r="H75" s="238">
        <f t="shared" si="32"/>
        <v>195810</v>
      </c>
      <c r="I75" s="238">
        <f t="shared" si="32"/>
        <v>195810</v>
      </c>
      <c r="J75" s="238">
        <f t="shared" si="32"/>
        <v>195810</v>
      </c>
      <c r="K75" s="238">
        <f t="shared" si="32"/>
        <v>195810</v>
      </c>
      <c r="L75" s="238">
        <f t="shared" si="32"/>
        <v>195810</v>
      </c>
      <c r="M75" s="238">
        <f t="shared" si="32"/>
        <v>195810</v>
      </c>
      <c r="N75" s="239">
        <f t="shared" si="32"/>
        <v>195810</v>
      </c>
    </row>
    <row r="76" spans="1:14">
      <c r="A76" s="410"/>
      <c r="B76" s="240" t="s">
        <v>87</v>
      </c>
      <c r="C76" s="232">
        <f t="shared" ref="C76:N76" si="33">C61*4%</f>
        <v>261080</v>
      </c>
      <c r="D76" s="238">
        <f t="shared" si="33"/>
        <v>261080</v>
      </c>
      <c r="E76" s="238">
        <f t="shared" si="33"/>
        <v>261080</v>
      </c>
      <c r="F76" s="238">
        <f t="shared" si="33"/>
        <v>261080</v>
      </c>
      <c r="G76" s="238">
        <f t="shared" si="33"/>
        <v>261080</v>
      </c>
      <c r="H76" s="238">
        <f t="shared" si="33"/>
        <v>261080</v>
      </c>
      <c r="I76" s="238">
        <f t="shared" si="33"/>
        <v>261080</v>
      </c>
      <c r="J76" s="238">
        <f t="shared" si="33"/>
        <v>261080</v>
      </c>
      <c r="K76" s="238">
        <f t="shared" si="33"/>
        <v>261080</v>
      </c>
      <c r="L76" s="238">
        <f t="shared" si="33"/>
        <v>261080</v>
      </c>
      <c r="M76" s="238">
        <f t="shared" si="33"/>
        <v>261080</v>
      </c>
      <c r="N76" s="239">
        <f t="shared" si="33"/>
        <v>261080</v>
      </c>
    </row>
    <row r="77" spans="1:14">
      <c r="A77" s="226"/>
      <c r="B77" s="240"/>
      <c r="C77" s="232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9"/>
    </row>
    <row r="78" spans="1:14">
      <c r="A78" s="226"/>
      <c r="B78" s="240" t="s">
        <v>88</v>
      </c>
      <c r="C78" s="232">
        <f t="shared" ref="C78:D78" si="34">C60*(25/3)%</f>
        <v>543916.66666666674</v>
      </c>
      <c r="D78" s="238">
        <f t="shared" si="34"/>
        <v>543916.66666666674</v>
      </c>
      <c r="E78" s="238">
        <f>E60*(25/3)%</f>
        <v>543916.66666666674</v>
      </c>
      <c r="F78" s="238">
        <f t="shared" ref="F78:N78" si="35">F60*(25/3)%</f>
        <v>543916.66666666674</v>
      </c>
      <c r="G78" s="238">
        <f t="shared" si="35"/>
        <v>543916.66666666674</v>
      </c>
      <c r="H78" s="238">
        <f t="shared" si="35"/>
        <v>543916.66666666674</v>
      </c>
      <c r="I78" s="238">
        <f t="shared" si="35"/>
        <v>543916.66666666674</v>
      </c>
      <c r="J78" s="238">
        <f t="shared" si="35"/>
        <v>543916.66666666674</v>
      </c>
      <c r="K78" s="238">
        <f t="shared" si="35"/>
        <v>543916.66666666674</v>
      </c>
      <c r="L78" s="238">
        <f t="shared" si="35"/>
        <v>543916.66666666674</v>
      </c>
      <c r="M78" s="238">
        <f t="shared" si="35"/>
        <v>543916.66666666674</v>
      </c>
      <c r="N78" s="239">
        <f t="shared" si="35"/>
        <v>543916.66666666674</v>
      </c>
    </row>
    <row r="79" spans="1:14">
      <c r="A79" s="226"/>
      <c r="B79" s="240" t="s">
        <v>89</v>
      </c>
      <c r="C79" s="232">
        <f t="shared" ref="C79:N79" si="36">C60*(25/3)%</f>
        <v>543916.66666666674</v>
      </c>
      <c r="D79" s="238">
        <f t="shared" si="36"/>
        <v>543916.66666666674</v>
      </c>
      <c r="E79" s="238">
        <f t="shared" si="36"/>
        <v>543916.66666666674</v>
      </c>
      <c r="F79" s="238">
        <f t="shared" si="36"/>
        <v>543916.66666666674</v>
      </c>
      <c r="G79" s="238">
        <f t="shared" si="36"/>
        <v>543916.66666666674</v>
      </c>
      <c r="H79" s="238">
        <f t="shared" si="36"/>
        <v>543916.66666666674</v>
      </c>
      <c r="I79" s="238">
        <f t="shared" si="36"/>
        <v>543916.66666666674</v>
      </c>
      <c r="J79" s="238">
        <f t="shared" si="36"/>
        <v>543916.66666666674</v>
      </c>
      <c r="K79" s="238">
        <f t="shared" si="36"/>
        <v>543916.66666666674</v>
      </c>
      <c r="L79" s="238">
        <f t="shared" si="36"/>
        <v>543916.66666666674</v>
      </c>
      <c r="M79" s="238">
        <f t="shared" si="36"/>
        <v>543916.66666666674</v>
      </c>
      <c r="N79" s="239">
        <f t="shared" si="36"/>
        <v>543916.66666666674</v>
      </c>
    </row>
    <row r="80" spans="1:14">
      <c r="A80" s="226"/>
      <c r="B80" s="240" t="s">
        <v>90</v>
      </c>
      <c r="C80" s="232">
        <f t="shared" ref="C80:N80" si="37">C79*12%</f>
        <v>65270.000000000007</v>
      </c>
      <c r="D80" s="238">
        <f t="shared" si="37"/>
        <v>65270.000000000007</v>
      </c>
      <c r="E80" s="238">
        <f t="shared" si="37"/>
        <v>65270.000000000007</v>
      </c>
      <c r="F80" s="238">
        <f t="shared" si="37"/>
        <v>65270.000000000007</v>
      </c>
      <c r="G80" s="238">
        <f t="shared" si="37"/>
        <v>65270.000000000007</v>
      </c>
      <c r="H80" s="238">
        <f t="shared" si="37"/>
        <v>65270.000000000007</v>
      </c>
      <c r="I80" s="238">
        <f t="shared" si="37"/>
        <v>65270.000000000007</v>
      </c>
      <c r="J80" s="238">
        <f t="shared" si="37"/>
        <v>65270.000000000007</v>
      </c>
      <c r="K80" s="238">
        <f t="shared" si="37"/>
        <v>65270.000000000007</v>
      </c>
      <c r="L80" s="238">
        <f t="shared" si="37"/>
        <v>65270.000000000007</v>
      </c>
      <c r="M80" s="238">
        <f t="shared" si="37"/>
        <v>65270.000000000007</v>
      </c>
      <c r="N80" s="239">
        <f t="shared" si="37"/>
        <v>65270.000000000007</v>
      </c>
    </row>
    <row r="81" spans="1:14">
      <c r="A81" s="226"/>
      <c r="B81" s="240" t="s">
        <v>91</v>
      </c>
      <c r="C81" s="232">
        <f t="shared" ref="C81:N81" si="38">C54*(25/6)%</f>
        <v>271958.33333333337</v>
      </c>
      <c r="D81" s="238">
        <f t="shared" si="38"/>
        <v>271958.33333333337</v>
      </c>
      <c r="E81" s="238">
        <f t="shared" si="38"/>
        <v>271958.33333333337</v>
      </c>
      <c r="F81" s="238">
        <f t="shared" si="38"/>
        <v>271958.33333333337</v>
      </c>
      <c r="G81" s="238">
        <f t="shared" si="38"/>
        <v>271958.33333333337</v>
      </c>
      <c r="H81" s="238">
        <f t="shared" si="38"/>
        <v>271958.33333333337</v>
      </c>
      <c r="I81" s="238">
        <f t="shared" si="38"/>
        <v>271958.33333333337</v>
      </c>
      <c r="J81" s="238">
        <f t="shared" si="38"/>
        <v>271958.33333333337</v>
      </c>
      <c r="K81" s="238">
        <f t="shared" si="38"/>
        <v>271958.33333333337</v>
      </c>
      <c r="L81" s="238">
        <f t="shared" si="38"/>
        <v>271958.33333333337</v>
      </c>
      <c r="M81" s="238">
        <f t="shared" si="38"/>
        <v>271958.33333333337</v>
      </c>
      <c r="N81" s="239">
        <f t="shared" si="38"/>
        <v>271958.33333333337</v>
      </c>
    </row>
    <row r="82" spans="1:14">
      <c r="A82" s="226"/>
      <c r="B82" s="227"/>
      <c r="C82" s="232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9"/>
    </row>
    <row r="83" spans="1:14">
      <c r="A83" s="226"/>
      <c r="B83" s="227" t="s">
        <v>92</v>
      </c>
      <c r="C83" s="232">
        <f t="shared" ref="C83:N83" si="39">SUM(C63,C65:C81)</f>
        <v>9911597.6066666674</v>
      </c>
      <c r="D83" s="238">
        <f t="shared" si="39"/>
        <v>9911597.6066666674</v>
      </c>
      <c r="E83" s="238">
        <f t="shared" si="39"/>
        <v>9911597.6066666674</v>
      </c>
      <c r="F83" s="238">
        <f t="shared" si="39"/>
        <v>9911597.6066666674</v>
      </c>
      <c r="G83" s="238">
        <f t="shared" si="39"/>
        <v>9911597.6066666674</v>
      </c>
      <c r="H83" s="238">
        <f t="shared" si="39"/>
        <v>9911597.6066666674</v>
      </c>
      <c r="I83" s="238">
        <f t="shared" si="39"/>
        <v>9911597.6066666674</v>
      </c>
      <c r="J83" s="238">
        <f t="shared" si="39"/>
        <v>9911597.6066666674</v>
      </c>
      <c r="K83" s="238">
        <f t="shared" si="39"/>
        <v>9911597.6066666674</v>
      </c>
      <c r="L83" s="238">
        <f t="shared" si="39"/>
        <v>9911597.6066666674</v>
      </c>
      <c r="M83" s="238">
        <f t="shared" si="39"/>
        <v>9911597.6066666674</v>
      </c>
      <c r="N83" s="239">
        <f t="shared" si="39"/>
        <v>9911597.6066666674</v>
      </c>
    </row>
    <row r="84" spans="1:14">
      <c r="A84" s="226"/>
      <c r="B84" s="227" t="s">
        <v>93</v>
      </c>
      <c r="C84" s="232">
        <f>C83-SUM(C78:C81)</f>
        <v>8486535.9400000013</v>
      </c>
      <c r="D84" s="238">
        <f t="shared" ref="D84:N84" si="40">D83-SUM(D78:D81)</f>
        <v>8486535.9400000013</v>
      </c>
      <c r="E84" s="238">
        <f t="shared" si="40"/>
        <v>8486535.9400000013</v>
      </c>
      <c r="F84" s="238">
        <f t="shared" si="40"/>
        <v>8486535.9400000013</v>
      </c>
      <c r="G84" s="238">
        <f t="shared" si="40"/>
        <v>8486535.9400000013</v>
      </c>
      <c r="H84" s="238">
        <f t="shared" si="40"/>
        <v>8486535.9400000013</v>
      </c>
      <c r="I84" s="238">
        <f t="shared" si="40"/>
        <v>8486535.9400000013</v>
      </c>
      <c r="J84" s="238">
        <f t="shared" si="40"/>
        <v>8486535.9400000013</v>
      </c>
      <c r="K84" s="238">
        <f t="shared" si="40"/>
        <v>8486535.9400000013</v>
      </c>
      <c r="L84" s="238">
        <f t="shared" si="40"/>
        <v>8486535.9400000013</v>
      </c>
      <c r="M84" s="238">
        <f t="shared" si="40"/>
        <v>8486535.9400000013</v>
      </c>
      <c r="N84" s="239">
        <f t="shared" si="40"/>
        <v>8486535.9400000013</v>
      </c>
    </row>
    <row r="85" spans="1:14">
      <c r="A85" s="226"/>
      <c r="B85" s="227" t="s">
        <v>94</v>
      </c>
      <c r="C85" s="242">
        <v>2</v>
      </c>
      <c r="D85" s="242">
        <f>C85</f>
        <v>2</v>
      </c>
      <c r="E85" s="242">
        <f t="shared" ref="E85:N85" si="41">D85</f>
        <v>2</v>
      </c>
      <c r="F85" s="242">
        <f t="shared" si="41"/>
        <v>2</v>
      </c>
      <c r="G85" s="242">
        <f t="shared" si="41"/>
        <v>2</v>
      </c>
      <c r="H85" s="242">
        <f t="shared" si="41"/>
        <v>2</v>
      </c>
      <c r="I85" s="242">
        <f t="shared" si="41"/>
        <v>2</v>
      </c>
      <c r="J85" s="242">
        <f t="shared" si="41"/>
        <v>2</v>
      </c>
      <c r="K85" s="242">
        <f t="shared" si="41"/>
        <v>2</v>
      </c>
      <c r="L85" s="242">
        <f t="shared" si="41"/>
        <v>2</v>
      </c>
      <c r="M85" s="242">
        <f t="shared" si="41"/>
        <v>2</v>
      </c>
      <c r="N85" s="243">
        <f t="shared" si="41"/>
        <v>2</v>
      </c>
    </row>
    <row r="86" spans="1:14">
      <c r="A86" s="226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9"/>
    </row>
    <row r="87" spans="1:14">
      <c r="A87" s="226"/>
      <c r="B87" s="227"/>
      <c r="C87" s="228">
        <f>(C83*100%/C61)-1</f>
        <v>0.51855333333333342</v>
      </c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9"/>
    </row>
    <row r="88" spans="1:14">
      <c r="A88" s="226"/>
      <c r="B88" s="227"/>
      <c r="C88" s="235" t="s">
        <v>55</v>
      </c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9"/>
    </row>
    <row r="89" spans="1:14">
      <c r="A89" s="226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9"/>
    </row>
    <row r="90" spans="1:14">
      <c r="A90" s="226"/>
      <c r="B90" s="227"/>
      <c r="C90" s="227" t="s">
        <v>93</v>
      </c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9"/>
    </row>
    <row r="91" spans="1:14">
      <c r="A91" s="226"/>
      <c r="B91" s="227"/>
      <c r="C91" s="227" t="s">
        <v>95</v>
      </c>
      <c r="D91" s="227">
        <v>1</v>
      </c>
      <c r="E91" s="227">
        <v>2</v>
      </c>
      <c r="F91" s="227">
        <v>3</v>
      </c>
      <c r="G91" s="227">
        <v>4</v>
      </c>
      <c r="H91" s="227"/>
      <c r="I91" s="227"/>
      <c r="J91" s="227"/>
      <c r="K91" s="227"/>
      <c r="L91" s="227"/>
      <c r="M91" s="227"/>
      <c r="N91" s="229"/>
    </row>
    <row r="92" spans="1:14">
      <c r="A92" s="226"/>
      <c r="B92" s="227"/>
      <c r="C92" s="227"/>
      <c r="D92" s="238">
        <f>SUM(C84:E84)</f>
        <v>25459607.820000004</v>
      </c>
      <c r="E92" s="238">
        <f>SUM(F84:H84,C78:H78)</f>
        <v>28723107.820000011</v>
      </c>
      <c r="F92" s="238">
        <f>SUM(I84:K84)</f>
        <v>25459607.820000004</v>
      </c>
      <c r="G92" s="238">
        <f>SUM(L84:N84,C81:N81,C80:N80,C79:N79,I78:N78)</f>
        <v>39296847.81999997</v>
      </c>
      <c r="H92" s="227"/>
      <c r="I92" s="227"/>
      <c r="J92" s="227"/>
      <c r="K92" s="227"/>
      <c r="L92" s="227"/>
      <c r="M92" s="227"/>
      <c r="N92" s="229"/>
    </row>
    <row r="93" spans="1:14">
      <c r="A93" s="226"/>
      <c r="B93" s="227"/>
      <c r="C93" s="227"/>
      <c r="D93" s="244">
        <f>D92*$C$37</f>
        <v>50919215.640000008</v>
      </c>
      <c r="E93" s="244">
        <f t="shared" ref="E93:G93" si="42">E92*$C$37</f>
        <v>57446215.640000023</v>
      </c>
      <c r="F93" s="244">
        <f t="shared" si="42"/>
        <v>50919215.640000008</v>
      </c>
      <c r="G93" s="244">
        <f t="shared" si="42"/>
        <v>78593695.639999941</v>
      </c>
      <c r="H93" s="227"/>
      <c r="I93" s="227"/>
      <c r="J93" s="227"/>
      <c r="K93" s="227"/>
      <c r="L93" s="227"/>
      <c r="M93" s="227"/>
      <c r="N93" s="229"/>
    </row>
    <row r="94" spans="1:14">
      <c r="A94" s="226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9"/>
    </row>
    <row r="95" spans="1:14">
      <c r="A95" s="226"/>
      <c r="B95" s="227" t="s">
        <v>96</v>
      </c>
      <c r="C95" s="245">
        <f>SUM(C63,C65:C66,C68:C69,C71,C74:C76)</f>
        <v>8486535.9400000013</v>
      </c>
      <c r="D95" s="245">
        <f>SUM(D63,D65:D66,D68:D69,D71,D74:D76)</f>
        <v>8486535.9400000013</v>
      </c>
      <c r="E95" s="245">
        <f>SUM(E63,E65:E66,E68:E69,E71,E74:E76)</f>
        <v>8486535.9400000013</v>
      </c>
      <c r="F95" s="245">
        <f>SUM(F63,F65:F66,F68:F69,F71,F74:F76)</f>
        <v>8486535.9400000013</v>
      </c>
      <c r="G95" s="245">
        <f>SUM(G63,G65:G66,G68:G69,G71,G74:G76)</f>
        <v>8486535.9400000013</v>
      </c>
      <c r="H95" s="245">
        <f>SUM(H63,H65:H66,H68:H69,H71,H74:H76,C78:H78)</f>
        <v>11750035.939999998</v>
      </c>
      <c r="I95" s="245">
        <f>SUM(I63,I65:I66,I68:I69,I71,I74:I76)</f>
        <v>8486535.9400000013</v>
      </c>
      <c r="J95" s="245">
        <f t="shared" ref="J95:M95" si="43">SUM(J63,J65:J66,J68:J69,J71,J74:J76)</f>
        <v>8486535.9400000013</v>
      </c>
      <c r="K95" s="245">
        <f t="shared" si="43"/>
        <v>8486535.9400000013</v>
      </c>
      <c r="L95" s="245">
        <f t="shared" si="43"/>
        <v>8486535.9400000013</v>
      </c>
      <c r="M95" s="245">
        <f t="shared" si="43"/>
        <v>8486535.9400000013</v>
      </c>
      <c r="N95" s="246">
        <f>SUM(N63,N65:N66,N68:N69,N71,N74:N76,I78:N78,C81:N81)</f>
        <v>15013535.940000005</v>
      </c>
    </row>
    <row r="96" spans="1:14" ht="15.75" thickBot="1">
      <c r="A96" s="247"/>
      <c r="B96" s="248" t="s">
        <v>97</v>
      </c>
      <c r="C96" s="249">
        <f>SUM(C95:N95)</f>
        <v>111628931.28</v>
      </c>
      <c r="D96" s="250"/>
      <c r="E96" s="248"/>
      <c r="F96" s="248"/>
      <c r="G96" s="248"/>
      <c r="H96" s="248"/>
      <c r="I96" s="248"/>
      <c r="J96" s="248"/>
      <c r="K96" s="248"/>
      <c r="L96" s="248"/>
      <c r="M96" s="248"/>
      <c r="N96" s="251"/>
    </row>
    <row r="97" spans="1:14">
      <c r="A97" s="252" t="s">
        <v>182</v>
      </c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4"/>
    </row>
    <row r="98" spans="1:14">
      <c r="A98" s="255"/>
      <c r="B98" s="256" t="s">
        <v>68</v>
      </c>
      <c r="C98" s="256">
        <v>1</v>
      </c>
      <c r="D98" s="257">
        <f>0.00522</f>
        <v>5.2199999999999998E-3</v>
      </c>
      <c r="E98" s="256"/>
      <c r="F98" s="256"/>
      <c r="G98" s="256"/>
      <c r="H98" s="256"/>
      <c r="I98" s="256"/>
      <c r="J98" s="256"/>
      <c r="K98" s="256"/>
      <c r="L98" s="256"/>
      <c r="M98" s="256"/>
      <c r="N98" s="258"/>
    </row>
    <row r="99" spans="1:14">
      <c r="A99" s="255"/>
      <c r="B99" s="256"/>
      <c r="C99" s="256">
        <v>2</v>
      </c>
      <c r="D99" s="257">
        <f>1.044%</f>
        <v>1.044E-2</v>
      </c>
      <c r="E99" s="256"/>
      <c r="F99" s="256"/>
      <c r="G99" s="256"/>
      <c r="H99" s="256"/>
      <c r="I99" s="256"/>
      <c r="J99" s="256"/>
      <c r="K99" s="256"/>
      <c r="L99" s="256"/>
      <c r="M99" s="256"/>
      <c r="N99" s="258"/>
    </row>
    <row r="100" spans="1:14">
      <c r="A100" s="255"/>
      <c r="B100" s="256"/>
      <c r="C100" s="256">
        <v>3</v>
      </c>
      <c r="D100" s="259">
        <v>2.436E-2</v>
      </c>
      <c r="E100" s="256"/>
      <c r="F100" s="256"/>
      <c r="G100" s="256"/>
      <c r="H100" s="256"/>
      <c r="I100" s="256"/>
      <c r="J100" s="256"/>
      <c r="K100" s="256"/>
      <c r="L100" s="256"/>
      <c r="M100" s="256"/>
      <c r="N100" s="258"/>
    </row>
    <row r="101" spans="1:14">
      <c r="A101" s="255"/>
      <c r="B101" s="256" t="s">
        <v>102</v>
      </c>
      <c r="C101" s="260">
        <v>0.06</v>
      </c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8"/>
    </row>
    <row r="102" spans="1:14">
      <c r="A102" s="255"/>
      <c r="B102" s="256" t="s">
        <v>69</v>
      </c>
      <c r="C102" s="261">
        <f>C54*(1+C101)</f>
        <v>6918620</v>
      </c>
      <c r="D102" s="261">
        <f>C102</f>
        <v>6918620</v>
      </c>
      <c r="E102" s="261">
        <f t="shared" ref="E102:N102" si="44">D102</f>
        <v>6918620</v>
      </c>
      <c r="F102" s="261">
        <f t="shared" si="44"/>
        <v>6918620</v>
      </c>
      <c r="G102" s="261">
        <f t="shared" si="44"/>
        <v>6918620</v>
      </c>
      <c r="H102" s="261">
        <f t="shared" si="44"/>
        <v>6918620</v>
      </c>
      <c r="I102" s="261">
        <f t="shared" si="44"/>
        <v>6918620</v>
      </c>
      <c r="J102" s="261">
        <f t="shared" si="44"/>
        <v>6918620</v>
      </c>
      <c r="K102" s="261">
        <f t="shared" si="44"/>
        <v>6918620</v>
      </c>
      <c r="L102" s="261">
        <f t="shared" si="44"/>
        <v>6918620</v>
      </c>
      <c r="M102" s="261">
        <f t="shared" si="44"/>
        <v>6918620</v>
      </c>
      <c r="N102" s="262">
        <f t="shared" si="44"/>
        <v>6918620</v>
      </c>
    </row>
    <row r="103" spans="1:14">
      <c r="A103" s="255"/>
      <c r="B103" s="256" t="s">
        <v>70</v>
      </c>
      <c r="C103" s="261">
        <f>IF(C102&lt;2*908526*(1+$C$101),106454*(1+$C$101),0)</f>
        <v>0</v>
      </c>
      <c r="D103" s="261">
        <f t="shared" ref="D103:N103" si="45">IF(D102&lt;2*908526*(1+$C$101),106454*(1+$C$101),0)</f>
        <v>0</v>
      </c>
      <c r="E103" s="261">
        <f t="shared" si="45"/>
        <v>0</v>
      </c>
      <c r="F103" s="261">
        <f t="shared" si="45"/>
        <v>0</v>
      </c>
      <c r="G103" s="261">
        <f t="shared" si="45"/>
        <v>0</v>
      </c>
      <c r="H103" s="261">
        <f t="shared" si="45"/>
        <v>0</v>
      </c>
      <c r="I103" s="261">
        <f t="shared" si="45"/>
        <v>0</v>
      </c>
      <c r="J103" s="261">
        <f t="shared" si="45"/>
        <v>0</v>
      </c>
      <c r="K103" s="261">
        <f t="shared" si="45"/>
        <v>0</v>
      </c>
      <c r="L103" s="261">
        <f t="shared" si="45"/>
        <v>0</v>
      </c>
      <c r="M103" s="261">
        <f t="shared" si="45"/>
        <v>0</v>
      </c>
      <c r="N103" s="261">
        <f t="shared" si="45"/>
        <v>0</v>
      </c>
    </row>
    <row r="104" spans="1:14">
      <c r="A104" s="263"/>
      <c r="B104" s="256" t="s">
        <v>71</v>
      </c>
      <c r="C104" s="264">
        <v>0</v>
      </c>
      <c r="D104" s="264">
        <v>0</v>
      </c>
      <c r="E104" s="264">
        <v>0</v>
      </c>
      <c r="F104" s="264">
        <v>0</v>
      </c>
      <c r="G104" s="264">
        <v>0</v>
      </c>
      <c r="H104" s="264">
        <v>0</v>
      </c>
      <c r="I104" s="264">
        <v>0</v>
      </c>
      <c r="J104" s="264">
        <v>0</v>
      </c>
      <c r="K104" s="264">
        <v>0</v>
      </c>
      <c r="L104" s="264">
        <v>0</v>
      </c>
      <c r="M104" s="264">
        <v>0</v>
      </c>
      <c r="N104" s="265">
        <v>0</v>
      </c>
    </row>
    <row r="105" spans="1:14">
      <c r="A105" s="255"/>
      <c r="B105" s="256" t="s">
        <v>72</v>
      </c>
      <c r="C105" s="266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5"/>
    </row>
    <row r="106" spans="1:14">
      <c r="A106" s="255"/>
      <c r="B106" s="256" t="s">
        <v>73</v>
      </c>
      <c r="C106" s="266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5"/>
    </row>
    <row r="107" spans="1:14">
      <c r="A107" s="255"/>
      <c r="B107" s="256"/>
      <c r="C107" s="266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5"/>
    </row>
    <row r="108" spans="1:14">
      <c r="A108" s="406" t="s">
        <v>74</v>
      </c>
      <c r="B108" s="256" t="s">
        <v>75</v>
      </c>
      <c r="C108" s="261">
        <f t="shared" ref="C108:E108" si="46">SUM(C102:C106)</f>
        <v>6918620</v>
      </c>
      <c r="D108" s="264">
        <f t="shared" si="46"/>
        <v>6918620</v>
      </c>
      <c r="E108" s="264">
        <f t="shared" si="46"/>
        <v>6918620</v>
      </c>
      <c r="F108" s="264">
        <f>SUM(F102:F106)</f>
        <v>6918620</v>
      </c>
      <c r="G108" s="264">
        <f t="shared" ref="G108:N108" si="47">SUM(G102:G106)</f>
        <v>6918620</v>
      </c>
      <c r="H108" s="264">
        <f t="shared" si="47"/>
        <v>6918620</v>
      </c>
      <c r="I108" s="264">
        <f t="shared" si="47"/>
        <v>6918620</v>
      </c>
      <c r="J108" s="264">
        <f t="shared" si="47"/>
        <v>6918620</v>
      </c>
      <c r="K108" s="264">
        <f t="shared" si="47"/>
        <v>6918620</v>
      </c>
      <c r="L108" s="264">
        <f t="shared" si="47"/>
        <v>6918620</v>
      </c>
      <c r="M108" s="264">
        <f t="shared" si="47"/>
        <v>6918620</v>
      </c>
      <c r="N108" s="265">
        <f t="shared" si="47"/>
        <v>6918620</v>
      </c>
    </row>
    <row r="109" spans="1:14">
      <c r="A109" s="406"/>
      <c r="B109" s="256" t="s">
        <v>76</v>
      </c>
      <c r="C109" s="261">
        <f t="shared" ref="C109:N109" si="48">C108-C103</f>
        <v>6918620</v>
      </c>
      <c r="D109" s="267">
        <f t="shared" si="48"/>
        <v>6918620</v>
      </c>
      <c r="E109" s="267">
        <f t="shared" si="48"/>
        <v>6918620</v>
      </c>
      <c r="F109" s="267">
        <f t="shared" si="48"/>
        <v>6918620</v>
      </c>
      <c r="G109" s="267">
        <f t="shared" si="48"/>
        <v>6918620</v>
      </c>
      <c r="H109" s="267">
        <f t="shared" si="48"/>
        <v>6918620</v>
      </c>
      <c r="I109" s="267">
        <f t="shared" si="48"/>
        <v>6918620</v>
      </c>
      <c r="J109" s="267">
        <f t="shared" si="48"/>
        <v>6918620</v>
      </c>
      <c r="K109" s="267">
        <f t="shared" si="48"/>
        <v>6918620</v>
      </c>
      <c r="L109" s="267">
        <f t="shared" si="48"/>
        <v>6918620</v>
      </c>
      <c r="M109" s="267">
        <f t="shared" si="48"/>
        <v>6918620</v>
      </c>
      <c r="N109" s="268">
        <f t="shared" si="48"/>
        <v>6918620</v>
      </c>
    </row>
    <row r="110" spans="1:14">
      <c r="A110" s="255"/>
      <c r="B110" s="256"/>
      <c r="C110" s="261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8"/>
    </row>
    <row r="111" spans="1:14">
      <c r="A111" s="255"/>
      <c r="B111" s="256" t="s">
        <v>77</v>
      </c>
      <c r="C111" s="261">
        <f t="shared" ref="C111:N111" si="49">C108-C113-C116</f>
        <v>6365130.4000000004</v>
      </c>
      <c r="D111" s="267">
        <f t="shared" si="49"/>
        <v>6365130.4000000004</v>
      </c>
      <c r="E111" s="267">
        <f t="shared" si="49"/>
        <v>6365130.4000000004</v>
      </c>
      <c r="F111" s="267">
        <f t="shared" si="49"/>
        <v>6365130.4000000004</v>
      </c>
      <c r="G111" s="267">
        <f t="shared" si="49"/>
        <v>6365130.4000000004</v>
      </c>
      <c r="H111" s="267">
        <f t="shared" si="49"/>
        <v>6365130.4000000004</v>
      </c>
      <c r="I111" s="267">
        <f t="shared" si="49"/>
        <v>6365130.4000000004</v>
      </c>
      <c r="J111" s="267">
        <f t="shared" si="49"/>
        <v>6365130.4000000004</v>
      </c>
      <c r="K111" s="267">
        <f t="shared" si="49"/>
        <v>6365130.4000000004</v>
      </c>
      <c r="L111" s="267">
        <f t="shared" si="49"/>
        <v>6365130.4000000004</v>
      </c>
      <c r="M111" s="267">
        <f t="shared" si="49"/>
        <v>6365130.4000000004</v>
      </c>
      <c r="N111" s="268">
        <f t="shared" si="49"/>
        <v>6365130.4000000004</v>
      </c>
    </row>
    <row r="112" spans="1:14">
      <c r="A112" s="255"/>
      <c r="B112" s="256"/>
      <c r="C112" s="261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8"/>
    </row>
    <row r="113" spans="1:14">
      <c r="A113" s="404" t="s">
        <v>78</v>
      </c>
      <c r="B113" s="269" t="s">
        <v>79</v>
      </c>
      <c r="C113" s="261">
        <f t="shared" ref="C113:N113" si="50">C109*4%</f>
        <v>276744.8</v>
      </c>
      <c r="D113" s="267">
        <f t="shared" si="50"/>
        <v>276744.8</v>
      </c>
      <c r="E113" s="267">
        <f t="shared" si="50"/>
        <v>276744.8</v>
      </c>
      <c r="F113" s="267">
        <f t="shared" si="50"/>
        <v>276744.8</v>
      </c>
      <c r="G113" s="267">
        <f t="shared" si="50"/>
        <v>276744.8</v>
      </c>
      <c r="H113" s="267">
        <f t="shared" si="50"/>
        <v>276744.8</v>
      </c>
      <c r="I113" s="267">
        <f t="shared" si="50"/>
        <v>276744.8</v>
      </c>
      <c r="J113" s="267">
        <f t="shared" si="50"/>
        <v>276744.8</v>
      </c>
      <c r="K113" s="267">
        <f t="shared" si="50"/>
        <v>276744.8</v>
      </c>
      <c r="L113" s="267">
        <f t="shared" si="50"/>
        <v>276744.8</v>
      </c>
      <c r="M113" s="267">
        <f t="shared" si="50"/>
        <v>276744.8</v>
      </c>
      <c r="N113" s="268">
        <f t="shared" si="50"/>
        <v>276744.8</v>
      </c>
    </row>
    <row r="114" spans="1:14">
      <c r="A114" s="404"/>
      <c r="B114" s="269" t="s">
        <v>80</v>
      </c>
      <c r="C114" s="261">
        <f t="shared" ref="C114:N114" si="51">C109*8.5%</f>
        <v>588082.70000000007</v>
      </c>
      <c r="D114" s="267">
        <f t="shared" si="51"/>
        <v>588082.70000000007</v>
      </c>
      <c r="E114" s="267">
        <f t="shared" si="51"/>
        <v>588082.70000000007</v>
      </c>
      <c r="F114" s="267">
        <f t="shared" si="51"/>
        <v>588082.70000000007</v>
      </c>
      <c r="G114" s="267">
        <f t="shared" si="51"/>
        <v>588082.70000000007</v>
      </c>
      <c r="H114" s="267">
        <f t="shared" si="51"/>
        <v>588082.70000000007</v>
      </c>
      <c r="I114" s="267">
        <f t="shared" si="51"/>
        <v>588082.70000000007</v>
      </c>
      <c r="J114" s="267">
        <f t="shared" si="51"/>
        <v>588082.70000000007</v>
      </c>
      <c r="K114" s="267">
        <f t="shared" si="51"/>
        <v>588082.70000000007</v>
      </c>
      <c r="L114" s="267">
        <f t="shared" si="51"/>
        <v>588082.70000000007</v>
      </c>
      <c r="M114" s="267">
        <f t="shared" si="51"/>
        <v>588082.70000000007</v>
      </c>
      <c r="N114" s="268">
        <f t="shared" si="51"/>
        <v>588082.70000000007</v>
      </c>
    </row>
    <row r="115" spans="1:14">
      <c r="A115" s="255"/>
      <c r="B115" s="269"/>
      <c r="C115" s="261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8"/>
    </row>
    <row r="116" spans="1:14">
      <c r="A116" s="404" t="s">
        <v>81</v>
      </c>
      <c r="B116" s="269" t="s">
        <v>82</v>
      </c>
      <c r="C116" s="261">
        <f t="shared" ref="C116:N116" si="52">C109*4%</f>
        <v>276744.8</v>
      </c>
      <c r="D116" s="267">
        <f t="shared" si="52"/>
        <v>276744.8</v>
      </c>
      <c r="E116" s="267">
        <f t="shared" si="52"/>
        <v>276744.8</v>
      </c>
      <c r="F116" s="267">
        <f t="shared" si="52"/>
        <v>276744.8</v>
      </c>
      <c r="G116" s="267">
        <f t="shared" si="52"/>
        <v>276744.8</v>
      </c>
      <c r="H116" s="267">
        <f t="shared" si="52"/>
        <v>276744.8</v>
      </c>
      <c r="I116" s="267">
        <f t="shared" si="52"/>
        <v>276744.8</v>
      </c>
      <c r="J116" s="267">
        <f t="shared" si="52"/>
        <v>276744.8</v>
      </c>
      <c r="K116" s="267">
        <f t="shared" si="52"/>
        <v>276744.8</v>
      </c>
      <c r="L116" s="267">
        <f t="shared" si="52"/>
        <v>276744.8</v>
      </c>
      <c r="M116" s="267">
        <f t="shared" si="52"/>
        <v>276744.8</v>
      </c>
      <c r="N116" s="268">
        <f t="shared" si="52"/>
        <v>276744.8</v>
      </c>
    </row>
    <row r="117" spans="1:14">
      <c r="A117" s="404"/>
      <c r="B117" s="269" t="s">
        <v>80</v>
      </c>
      <c r="C117" s="261">
        <f t="shared" ref="C117:N117" si="53">C109*12%</f>
        <v>830234.4</v>
      </c>
      <c r="D117" s="267">
        <f t="shared" si="53"/>
        <v>830234.4</v>
      </c>
      <c r="E117" s="267">
        <f t="shared" si="53"/>
        <v>830234.4</v>
      </c>
      <c r="F117" s="267">
        <f t="shared" si="53"/>
        <v>830234.4</v>
      </c>
      <c r="G117" s="267">
        <f t="shared" si="53"/>
        <v>830234.4</v>
      </c>
      <c r="H117" s="267">
        <f t="shared" si="53"/>
        <v>830234.4</v>
      </c>
      <c r="I117" s="267">
        <f t="shared" si="53"/>
        <v>830234.4</v>
      </c>
      <c r="J117" s="267">
        <f t="shared" si="53"/>
        <v>830234.4</v>
      </c>
      <c r="K117" s="267">
        <f t="shared" si="53"/>
        <v>830234.4</v>
      </c>
      <c r="L117" s="267">
        <f t="shared" si="53"/>
        <v>830234.4</v>
      </c>
      <c r="M117" s="267">
        <f t="shared" si="53"/>
        <v>830234.4</v>
      </c>
      <c r="N117" s="268">
        <f t="shared" si="53"/>
        <v>830234.4</v>
      </c>
    </row>
    <row r="118" spans="1:14">
      <c r="A118" s="255"/>
      <c r="B118" s="269"/>
      <c r="C118" s="261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8"/>
    </row>
    <row r="119" spans="1:14">
      <c r="A119" s="255" t="s">
        <v>83</v>
      </c>
      <c r="B119" s="270">
        <v>1</v>
      </c>
      <c r="C119" s="261">
        <f>IF(B119=C98,D98*C109,IF(B119=C99,D99*C109,IF(B119=C100,D100*C109,0)))</f>
        <v>36115.196400000001</v>
      </c>
      <c r="D119" s="267">
        <f>IF(B119=C98,D98*C109,IF(B119=C99,D99*C109,IF(B119=C100,D100*C109,0)))</f>
        <v>36115.196400000001</v>
      </c>
      <c r="E119" s="267">
        <f>IF(B119=C98,D98*C109,IF(B119=C99,D99*C109,IF(B119=C100,D100*C109,0)))</f>
        <v>36115.196400000001</v>
      </c>
      <c r="F119" s="267">
        <f>IF(B119=C98,D98*C109,IF(B119=C99,D99*C109,IF(B119=C100,D100*C109,0)))</f>
        <v>36115.196400000001</v>
      </c>
      <c r="G119" s="267">
        <f>IF(B119=C98,D98*C109,IF(B119=C99,D99*C109,IF(B119=C100,D100*C109,0)))</f>
        <v>36115.196400000001</v>
      </c>
      <c r="H119" s="267">
        <f>IF(B119=C98,D98*C109,IF(B119=C99,D99*C109,IF(B119=C100,D100*C109,0)))</f>
        <v>36115.196400000001</v>
      </c>
      <c r="I119" s="267">
        <f>IF(B119=C98,D98*C109,IF(B119=C99,D99*C109,IF(B119=C100,D100*C109,0)))</f>
        <v>36115.196400000001</v>
      </c>
      <c r="J119" s="267">
        <f>IF(B119=C98,D98*C109,IF(B119=C99,D99*C109,IF(B119=C100,D100*C109,0)))</f>
        <v>36115.196400000001</v>
      </c>
      <c r="K119" s="267">
        <f>IF(B119=C98,D98*C109,IF(B119=C99,D99*C109,IF(B119=C100,D100*C109,0)))</f>
        <v>36115.196400000001</v>
      </c>
      <c r="L119" s="267">
        <f>IF(B119=C98,D98*C109,IF(B119=C99,D99*C109,IF(B119=C100,D100*C109,0)))</f>
        <v>36115.196400000001</v>
      </c>
      <c r="M119" s="267">
        <f>IF(B119=C98,D98*C109,IF(B119=C99,D99*C109,IF(B119=C100,D100*C109,0)))</f>
        <v>36115.196400000001</v>
      </c>
      <c r="N119" s="268">
        <f>IF(B119=C98,D98*C109,IF(B119=C99,D99*C109,IF(B119=C100,D100*C109,0)))</f>
        <v>36115.196400000001</v>
      </c>
    </row>
    <row r="120" spans="1:14">
      <c r="A120" s="255"/>
      <c r="B120" s="269"/>
      <c r="C120" s="261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8"/>
    </row>
    <row r="121" spans="1:14">
      <c r="A121" s="255"/>
      <c r="B121" s="269"/>
      <c r="C121" s="261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8"/>
    </row>
    <row r="122" spans="1:14">
      <c r="A122" s="404" t="s">
        <v>84</v>
      </c>
      <c r="B122" s="269" t="s">
        <v>85</v>
      </c>
      <c r="C122" s="261">
        <f t="shared" ref="C122:N122" si="54">2%*C109</f>
        <v>138372.4</v>
      </c>
      <c r="D122" s="267">
        <f t="shared" si="54"/>
        <v>138372.4</v>
      </c>
      <c r="E122" s="267">
        <f t="shared" si="54"/>
        <v>138372.4</v>
      </c>
      <c r="F122" s="267">
        <f t="shared" si="54"/>
        <v>138372.4</v>
      </c>
      <c r="G122" s="267">
        <f t="shared" si="54"/>
        <v>138372.4</v>
      </c>
      <c r="H122" s="267">
        <f t="shared" si="54"/>
        <v>138372.4</v>
      </c>
      <c r="I122" s="267">
        <f t="shared" si="54"/>
        <v>138372.4</v>
      </c>
      <c r="J122" s="267">
        <f t="shared" si="54"/>
        <v>138372.4</v>
      </c>
      <c r="K122" s="267">
        <f t="shared" si="54"/>
        <v>138372.4</v>
      </c>
      <c r="L122" s="267">
        <f t="shared" si="54"/>
        <v>138372.4</v>
      </c>
      <c r="M122" s="267">
        <f t="shared" si="54"/>
        <v>138372.4</v>
      </c>
      <c r="N122" s="268">
        <f t="shared" si="54"/>
        <v>138372.4</v>
      </c>
    </row>
    <row r="123" spans="1:14">
      <c r="A123" s="404"/>
      <c r="B123" s="269" t="s">
        <v>86</v>
      </c>
      <c r="C123" s="261">
        <f t="shared" ref="C123:N123" si="55">C109*3%</f>
        <v>207558.6</v>
      </c>
      <c r="D123" s="267">
        <f t="shared" si="55"/>
        <v>207558.6</v>
      </c>
      <c r="E123" s="267">
        <f t="shared" si="55"/>
        <v>207558.6</v>
      </c>
      <c r="F123" s="267">
        <f t="shared" si="55"/>
        <v>207558.6</v>
      </c>
      <c r="G123" s="267">
        <f t="shared" si="55"/>
        <v>207558.6</v>
      </c>
      <c r="H123" s="267">
        <f t="shared" si="55"/>
        <v>207558.6</v>
      </c>
      <c r="I123" s="267">
        <f t="shared" si="55"/>
        <v>207558.6</v>
      </c>
      <c r="J123" s="267">
        <f t="shared" si="55"/>
        <v>207558.6</v>
      </c>
      <c r="K123" s="267">
        <f t="shared" si="55"/>
        <v>207558.6</v>
      </c>
      <c r="L123" s="267">
        <f t="shared" si="55"/>
        <v>207558.6</v>
      </c>
      <c r="M123" s="267">
        <f t="shared" si="55"/>
        <v>207558.6</v>
      </c>
      <c r="N123" s="268">
        <f t="shared" si="55"/>
        <v>207558.6</v>
      </c>
    </row>
    <row r="124" spans="1:14">
      <c r="A124" s="404"/>
      <c r="B124" s="269" t="s">
        <v>87</v>
      </c>
      <c r="C124" s="261">
        <f t="shared" ref="C124:N124" si="56">C109*4%</f>
        <v>276744.8</v>
      </c>
      <c r="D124" s="267">
        <f t="shared" si="56"/>
        <v>276744.8</v>
      </c>
      <c r="E124" s="267">
        <f t="shared" si="56"/>
        <v>276744.8</v>
      </c>
      <c r="F124" s="267">
        <f t="shared" si="56"/>
        <v>276744.8</v>
      </c>
      <c r="G124" s="267">
        <f t="shared" si="56"/>
        <v>276744.8</v>
      </c>
      <c r="H124" s="267">
        <f t="shared" si="56"/>
        <v>276744.8</v>
      </c>
      <c r="I124" s="267">
        <f t="shared" si="56"/>
        <v>276744.8</v>
      </c>
      <c r="J124" s="267">
        <f t="shared" si="56"/>
        <v>276744.8</v>
      </c>
      <c r="K124" s="267">
        <f t="shared" si="56"/>
        <v>276744.8</v>
      </c>
      <c r="L124" s="267">
        <f t="shared" si="56"/>
        <v>276744.8</v>
      </c>
      <c r="M124" s="267">
        <f t="shared" si="56"/>
        <v>276744.8</v>
      </c>
      <c r="N124" s="268">
        <f t="shared" si="56"/>
        <v>276744.8</v>
      </c>
    </row>
    <row r="125" spans="1:14">
      <c r="A125" s="255"/>
      <c r="B125" s="269"/>
      <c r="C125" s="261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8"/>
    </row>
    <row r="126" spans="1:14">
      <c r="A126" s="255"/>
      <c r="B126" s="269" t="s">
        <v>88</v>
      </c>
      <c r="C126" s="261">
        <f t="shared" ref="C126:D126" si="57">C108*(25/3)%</f>
        <v>576551.66666666674</v>
      </c>
      <c r="D126" s="267">
        <f t="shared" si="57"/>
        <v>576551.66666666674</v>
      </c>
      <c r="E126" s="267">
        <f>E108*(25/3)%</f>
        <v>576551.66666666674</v>
      </c>
      <c r="F126" s="267">
        <f t="shared" ref="F126:N126" si="58">F108*(25/3)%</f>
        <v>576551.66666666674</v>
      </c>
      <c r="G126" s="267">
        <f t="shared" si="58"/>
        <v>576551.66666666674</v>
      </c>
      <c r="H126" s="267">
        <f t="shared" si="58"/>
        <v>576551.66666666674</v>
      </c>
      <c r="I126" s="267">
        <f t="shared" si="58"/>
        <v>576551.66666666674</v>
      </c>
      <c r="J126" s="267">
        <f t="shared" si="58"/>
        <v>576551.66666666674</v>
      </c>
      <c r="K126" s="267">
        <f t="shared" si="58"/>
        <v>576551.66666666674</v>
      </c>
      <c r="L126" s="267">
        <f t="shared" si="58"/>
        <v>576551.66666666674</v>
      </c>
      <c r="M126" s="267">
        <f t="shared" si="58"/>
        <v>576551.66666666674</v>
      </c>
      <c r="N126" s="268">
        <f t="shared" si="58"/>
        <v>576551.66666666674</v>
      </c>
    </row>
    <row r="127" spans="1:14">
      <c r="A127" s="255"/>
      <c r="B127" s="269" t="s">
        <v>89</v>
      </c>
      <c r="C127" s="261">
        <f t="shared" ref="C127:N127" si="59">C108*(25/3)%</f>
        <v>576551.66666666674</v>
      </c>
      <c r="D127" s="267">
        <f t="shared" si="59"/>
        <v>576551.66666666674</v>
      </c>
      <c r="E127" s="267">
        <f t="shared" si="59"/>
        <v>576551.66666666674</v>
      </c>
      <c r="F127" s="267">
        <f t="shared" si="59"/>
        <v>576551.66666666674</v>
      </c>
      <c r="G127" s="267">
        <f t="shared" si="59"/>
        <v>576551.66666666674</v>
      </c>
      <c r="H127" s="267">
        <f t="shared" si="59"/>
        <v>576551.66666666674</v>
      </c>
      <c r="I127" s="267">
        <f t="shared" si="59"/>
        <v>576551.66666666674</v>
      </c>
      <c r="J127" s="267">
        <f t="shared" si="59"/>
        <v>576551.66666666674</v>
      </c>
      <c r="K127" s="267">
        <f t="shared" si="59"/>
        <v>576551.66666666674</v>
      </c>
      <c r="L127" s="267">
        <f t="shared" si="59"/>
        <v>576551.66666666674</v>
      </c>
      <c r="M127" s="267">
        <f t="shared" si="59"/>
        <v>576551.66666666674</v>
      </c>
      <c r="N127" s="268">
        <f t="shared" si="59"/>
        <v>576551.66666666674</v>
      </c>
    </row>
    <row r="128" spans="1:14">
      <c r="A128" s="255"/>
      <c r="B128" s="269" t="s">
        <v>90</v>
      </c>
      <c r="C128" s="261">
        <f t="shared" ref="C128:N128" si="60">C127*12%</f>
        <v>69186.200000000012</v>
      </c>
      <c r="D128" s="267">
        <f t="shared" si="60"/>
        <v>69186.200000000012</v>
      </c>
      <c r="E128" s="267">
        <f t="shared" si="60"/>
        <v>69186.200000000012</v>
      </c>
      <c r="F128" s="267">
        <f t="shared" si="60"/>
        <v>69186.200000000012</v>
      </c>
      <c r="G128" s="267">
        <f t="shared" si="60"/>
        <v>69186.200000000012</v>
      </c>
      <c r="H128" s="267">
        <f t="shared" si="60"/>
        <v>69186.200000000012</v>
      </c>
      <c r="I128" s="267">
        <f t="shared" si="60"/>
        <v>69186.200000000012</v>
      </c>
      <c r="J128" s="267">
        <f t="shared" si="60"/>
        <v>69186.200000000012</v>
      </c>
      <c r="K128" s="267">
        <f t="shared" si="60"/>
        <v>69186.200000000012</v>
      </c>
      <c r="L128" s="267">
        <f t="shared" si="60"/>
        <v>69186.200000000012</v>
      </c>
      <c r="M128" s="267">
        <f t="shared" si="60"/>
        <v>69186.200000000012</v>
      </c>
      <c r="N128" s="268">
        <f t="shared" si="60"/>
        <v>69186.200000000012</v>
      </c>
    </row>
    <row r="129" spans="1:14">
      <c r="A129" s="255"/>
      <c r="B129" s="269" t="s">
        <v>91</v>
      </c>
      <c r="C129" s="261">
        <f t="shared" ref="C129:N129" si="61">C102*(25/6)%</f>
        <v>288275.83333333337</v>
      </c>
      <c r="D129" s="267">
        <f t="shared" si="61"/>
        <v>288275.83333333337</v>
      </c>
      <c r="E129" s="267">
        <f t="shared" si="61"/>
        <v>288275.83333333337</v>
      </c>
      <c r="F129" s="267">
        <f t="shared" si="61"/>
        <v>288275.83333333337</v>
      </c>
      <c r="G129" s="267">
        <f t="shared" si="61"/>
        <v>288275.83333333337</v>
      </c>
      <c r="H129" s="267">
        <f t="shared" si="61"/>
        <v>288275.83333333337</v>
      </c>
      <c r="I129" s="267">
        <f t="shared" si="61"/>
        <v>288275.83333333337</v>
      </c>
      <c r="J129" s="267">
        <f t="shared" si="61"/>
        <v>288275.83333333337</v>
      </c>
      <c r="K129" s="267">
        <f t="shared" si="61"/>
        <v>288275.83333333337</v>
      </c>
      <c r="L129" s="267">
        <f t="shared" si="61"/>
        <v>288275.83333333337</v>
      </c>
      <c r="M129" s="267">
        <f t="shared" si="61"/>
        <v>288275.83333333337</v>
      </c>
      <c r="N129" s="268">
        <f t="shared" si="61"/>
        <v>288275.83333333337</v>
      </c>
    </row>
    <row r="130" spans="1:14">
      <c r="A130" s="255"/>
      <c r="B130" s="256"/>
      <c r="C130" s="261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8"/>
    </row>
    <row r="131" spans="1:14">
      <c r="A131" s="255"/>
      <c r="B131" s="256" t="s">
        <v>92</v>
      </c>
      <c r="C131" s="261">
        <f t="shared" ref="C131:N131" si="62">SUM(C111,C113:C129)</f>
        <v>10506293.463066665</v>
      </c>
      <c r="D131" s="267">
        <f t="shared" si="62"/>
        <v>10506293.463066665</v>
      </c>
      <c r="E131" s="267">
        <f t="shared" si="62"/>
        <v>10506293.463066665</v>
      </c>
      <c r="F131" s="267">
        <f t="shared" si="62"/>
        <v>10506293.463066665</v>
      </c>
      <c r="G131" s="267">
        <f t="shared" si="62"/>
        <v>10506293.463066665</v>
      </c>
      <c r="H131" s="267">
        <f t="shared" si="62"/>
        <v>10506293.463066665</v>
      </c>
      <c r="I131" s="267">
        <f t="shared" si="62"/>
        <v>10506293.463066665</v>
      </c>
      <c r="J131" s="267">
        <f t="shared" si="62"/>
        <v>10506293.463066665</v>
      </c>
      <c r="K131" s="267">
        <f t="shared" si="62"/>
        <v>10506293.463066665</v>
      </c>
      <c r="L131" s="267">
        <f t="shared" si="62"/>
        <v>10506293.463066665</v>
      </c>
      <c r="M131" s="267">
        <f t="shared" si="62"/>
        <v>10506293.463066665</v>
      </c>
      <c r="N131" s="268">
        <f t="shared" si="62"/>
        <v>10506293.463066665</v>
      </c>
    </row>
    <row r="132" spans="1:14">
      <c r="A132" s="255"/>
      <c r="B132" s="256" t="s">
        <v>93</v>
      </c>
      <c r="C132" s="261">
        <f>C131-SUM(C126:C129)</f>
        <v>8995728.0963999983</v>
      </c>
      <c r="D132" s="267">
        <f t="shared" ref="D132:N132" si="63">D131-SUM(D126:D129)</f>
        <v>8995728.0963999983</v>
      </c>
      <c r="E132" s="267">
        <f t="shared" si="63"/>
        <v>8995728.0963999983</v>
      </c>
      <c r="F132" s="267">
        <f t="shared" si="63"/>
        <v>8995728.0963999983</v>
      </c>
      <c r="G132" s="267">
        <f t="shared" si="63"/>
        <v>8995728.0963999983</v>
      </c>
      <c r="H132" s="267">
        <f t="shared" si="63"/>
        <v>8995728.0963999983</v>
      </c>
      <c r="I132" s="267">
        <f t="shared" si="63"/>
        <v>8995728.0963999983</v>
      </c>
      <c r="J132" s="267">
        <f t="shared" si="63"/>
        <v>8995728.0963999983</v>
      </c>
      <c r="K132" s="267">
        <f t="shared" si="63"/>
        <v>8995728.0963999983</v>
      </c>
      <c r="L132" s="267">
        <f t="shared" si="63"/>
        <v>8995728.0963999983</v>
      </c>
      <c r="M132" s="267">
        <f t="shared" si="63"/>
        <v>8995728.0963999983</v>
      </c>
      <c r="N132" s="268">
        <f t="shared" si="63"/>
        <v>8995728.0963999983</v>
      </c>
    </row>
    <row r="133" spans="1:14">
      <c r="A133" s="255"/>
      <c r="B133" s="256" t="s">
        <v>94</v>
      </c>
      <c r="C133" s="271">
        <v>2</v>
      </c>
      <c r="D133" s="271">
        <f>C133</f>
        <v>2</v>
      </c>
      <c r="E133" s="271">
        <f t="shared" ref="E133:N133" si="64">D133</f>
        <v>2</v>
      </c>
      <c r="F133" s="271">
        <f t="shared" si="64"/>
        <v>2</v>
      </c>
      <c r="G133" s="271">
        <f t="shared" si="64"/>
        <v>2</v>
      </c>
      <c r="H133" s="271">
        <f t="shared" si="64"/>
        <v>2</v>
      </c>
      <c r="I133" s="271">
        <f t="shared" si="64"/>
        <v>2</v>
      </c>
      <c r="J133" s="271">
        <f t="shared" si="64"/>
        <v>2</v>
      </c>
      <c r="K133" s="271">
        <f t="shared" si="64"/>
        <v>2</v>
      </c>
      <c r="L133" s="271">
        <f t="shared" si="64"/>
        <v>2</v>
      </c>
      <c r="M133" s="271">
        <f t="shared" si="64"/>
        <v>2</v>
      </c>
      <c r="N133" s="272">
        <f t="shared" si="64"/>
        <v>2</v>
      </c>
    </row>
    <row r="134" spans="1:14">
      <c r="A134" s="255"/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8"/>
    </row>
    <row r="135" spans="1:14">
      <c r="A135" s="255"/>
      <c r="B135" s="256"/>
      <c r="C135" s="257">
        <f>(C131*100%/C109)-1</f>
        <v>0.5185533333333332</v>
      </c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8"/>
    </row>
    <row r="136" spans="1:14">
      <c r="A136" s="255"/>
      <c r="B136" s="256"/>
      <c r="C136" s="264" t="s">
        <v>55</v>
      </c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8"/>
    </row>
    <row r="137" spans="1:14">
      <c r="A137" s="255"/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8"/>
    </row>
    <row r="138" spans="1:14">
      <c r="A138" s="255"/>
      <c r="B138" s="256"/>
      <c r="C138" s="256" t="s">
        <v>93</v>
      </c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8"/>
    </row>
    <row r="139" spans="1:14">
      <c r="A139" s="255"/>
      <c r="B139" s="256"/>
      <c r="C139" s="256" t="s">
        <v>95</v>
      </c>
      <c r="D139" s="256">
        <v>1</v>
      </c>
      <c r="E139" s="256">
        <v>2</v>
      </c>
      <c r="F139" s="256">
        <v>3</v>
      </c>
      <c r="G139" s="256">
        <v>4</v>
      </c>
      <c r="H139" s="256"/>
      <c r="I139" s="256"/>
      <c r="J139" s="256"/>
      <c r="K139" s="256"/>
      <c r="L139" s="256"/>
      <c r="M139" s="256"/>
      <c r="N139" s="258"/>
    </row>
    <row r="140" spans="1:14">
      <c r="A140" s="255"/>
      <c r="B140" s="256"/>
      <c r="C140" s="256"/>
      <c r="D140" s="267">
        <f>SUM(C132:E132)</f>
        <v>26987184.289199993</v>
      </c>
      <c r="E140" s="267">
        <f>SUM(F132:H132,C126:H126)</f>
        <v>30446494.2892</v>
      </c>
      <c r="F140" s="267">
        <f>SUM(I132:K132)</f>
        <v>26987184.289199993</v>
      </c>
      <c r="G140" s="267">
        <f>SUM(L132:N132,C129:N129,C128:N128,C127:N127,I126:N126)</f>
        <v>41654658.689199939</v>
      </c>
      <c r="H140" s="256"/>
      <c r="I140" s="256"/>
      <c r="J140" s="256"/>
      <c r="K140" s="256"/>
      <c r="L140" s="256"/>
      <c r="M140" s="256"/>
      <c r="N140" s="258"/>
    </row>
    <row r="141" spans="1:14">
      <c r="A141" s="255"/>
      <c r="B141" s="256"/>
      <c r="C141" s="256"/>
      <c r="D141" s="273">
        <f>D140*$C$37</f>
        <v>53974368.578399986</v>
      </c>
      <c r="E141" s="273">
        <f t="shared" ref="E141:G141" si="65">E140*$C$37</f>
        <v>60892988.578400001</v>
      </c>
      <c r="F141" s="273">
        <f t="shared" si="65"/>
        <v>53974368.578399986</v>
      </c>
      <c r="G141" s="273">
        <f t="shared" si="65"/>
        <v>83309317.378399879</v>
      </c>
      <c r="H141" s="256"/>
      <c r="I141" s="256"/>
      <c r="J141" s="256"/>
      <c r="K141" s="256"/>
      <c r="L141" s="256"/>
      <c r="M141" s="256"/>
      <c r="N141" s="258"/>
    </row>
    <row r="142" spans="1:14">
      <c r="A142" s="255"/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8"/>
    </row>
    <row r="143" spans="1:14">
      <c r="A143" s="255"/>
      <c r="B143" s="256" t="s">
        <v>96</v>
      </c>
      <c r="C143" s="274">
        <f>SUM(C111,C113:C114,C116:C117,C119,C122:C124,C80:N80)</f>
        <v>9778968.0964000002</v>
      </c>
      <c r="D143" s="274">
        <f>SUM(D111,D113:D114,D116:D117,D119,D122:D124,C79:N79)</f>
        <v>15522728.096399993</v>
      </c>
      <c r="E143" s="274">
        <f>SUM(E111,E113:E114,E116:E117,E119,E122:E124)</f>
        <v>8995728.0964000002</v>
      </c>
      <c r="F143" s="274">
        <f>SUM(F111,F113:F114,F116:F117,F119,F122:F124)</f>
        <v>8995728.0964000002</v>
      </c>
      <c r="G143" s="274">
        <f>SUM(G111,G113:G114,G116:G117,G119,G122:G124)</f>
        <v>8995728.0964000002</v>
      </c>
      <c r="H143" s="274">
        <f>SUM(H111,H113:H114,H116:H117,H119,H122:H124,C126:H126)</f>
        <v>12455038.096399996</v>
      </c>
      <c r="I143" s="274">
        <f>SUM(I111,I113:I114,I116:I117,I119,I122:I124)</f>
        <v>8995728.0964000002</v>
      </c>
      <c r="J143" s="274">
        <f t="shared" ref="J143:M143" si="66">SUM(J111,J113:J114,J116:J117,J119,J122:J124)</f>
        <v>8995728.0964000002</v>
      </c>
      <c r="K143" s="274">
        <f t="shared" si="66"/>
        <v>8995728.0964000002</v>
      </c>
      <c r="L143" s="274">
        <f t="shared" si="66"/>
        <v>8995728.0964000002</v>
      </c>
      <c r="M143" s="274">
        <f t="shared" si="66"/>
        <v>8995728.0964000002</v>
      </c>
      <c r="N143" s="275">
        <f>SUM(N111,N113:N114,N116:N117,N119,N122:N124,I126:N126,C129:N129)</f>
        <v>15914348.096400004</v>
      </c>
    </row>
    <row r="144" spans="1:14" ht="15.75" thickBot="1">
      <c r="A144" s="276"/>
      <c r="B144" s="277" t="s">
        <v>97</v>
      </c>
      <c r="C144" s="278">
        <f>SUM(C143:N143)</f>
        <v>125636907.15679996</v>
      </c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80"/>
    </row>
    <row r="145" spans="1:14">
      <c r="A145" s="281" t="s">
        <v>184</v>
      </c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3"/>
    </row>
    <row r="146" spans="1:14">
      <c r="A146" s="284"/>
      <c r="B146" s="285" t="s">
        <v>68</v>
      </c>
      <c r="C146" s="285">
        <v>1</v>
      </c>
      <c r="D146" s="286">
        <f>0.00522</f>
        <v>5.2199999999999998E-3</v>
      </c>
      <c r="E146" s="285"/>
      <c r="F146" s="285"/>
      <c r="G146" s="285"/>
      <c r="H146" s="285"/>
      <c r="I146" s="285"/>
      <c r="J146" s="285"/>
      <c r="K146" s="285"/>
      <c r="L146" s="285"/>
      <c r="M146" s="285"/>
      <c r="N146" s="287"/>
    </row>
    <row r="147" spans="1:14">
      <c r="A147" s="284"/>
      <c r="B147" s="285"/>
      <c r="C147" s="285">
        <v>2</v>
      </c>
      <c r="D147" s="286">
        <f>1.044%</f>
        <v>1.044E-2</v>
      </c>
      <c r="E147" s="285"/>
      <c r="F147" s="285"/>
      <c r="G147" s="285"/>
      <c r="H147" s="285"/>
      <c r="I147" s="285"/>
      <c r="J147" s="285"/>
      <c r="K147" s="285"/>
      <c r="L147" s="285"/>
      <c r="M147" s="285"/>
      <c r="N147" s="287"/>
    </row>
    <row r="148" spans="1:14">
      <c r="A148" s="284"/>
      <c r="B148" s="285"/>
      <c r="C148" s="285">
        <v>3</v>
      </c>
      <c r="D148" s="288">
        <v>2.436E-2</v>
      </c>
      <c r="E148" s="285"/>
      <c r="F148" s="285"/>
      <c r="G148" s="285"/>
      <c r="H148" s="285"/>
      <c r="I148" s="285"/>
      <c r="J148" s="285"/>
      <c r="K148" s="285"/>
      <c r="L148" s="285"/>
      <c r="M148" s="285"/>
      <c r="N148" s="287"/>
    </row>
    <row r="149" spans="1:14">
      <c r="A149" s="284"/>
      <c r="B149" s="285"/>
      <c r="C149" s="289">
        <v>0.04</v>
      </c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7"/>
    </row>
    <row r="150" spans="1:14">
      <c r="A150" s="284"/>
      <c r="B150" s="285" t="s">
        <v>69</v>
      </c>
      <c r="C150" s="290">
        <f>C102*(1+C149)</f>
        <v>7195364.7999999998</v>
      </c>
      <c r="D150" s="290">
        <f>C150</f>
        <v>7195364.7999999998</v>
      </c>
      <c r="E150" s="290">
        <f t="shared" ref="E150:N150" si="67">D150</f>
        <v>7195364.7999999998</v>
      </c>
      <c r="F150" s="290">
        <f t="shared" si="67"/>
        <v>7195364.7999999998</v>
      </c>
      <c r="G150" s="290">
        <f t="shared" si="67"/>
        <v>7195364.7999999998</v>
      </c>
      <c r="H150" s="290">
        <f t="shared" si="67"/>
        <v>7195364.7999999998</v>
      </c>
      <c r="I150" s="290">
        <f t="shared" si="67"/>
        <v>7195364.7999999998</v>
      </c>
      <c r="J150" s="290">
        <f t="shared" si="67"/>
        <v>7195364.7999999998</v>
      </c>
      <c r="K150" s="290">
        <f t="shared" si="67"/>
        <v>7195364.7999999998</v>
      </c>
      <c r="L150" s="290">
        <f t="shared" si="67"/>
        <v>7195364.7999999998</v>
      </c>
      <c r="M150" s="290">
        <f t="shared" si="67"/>
        <v>7195364.7999999998</v>
      </c>
      <c r="N150" s="291">
        <f t="shared" si="67"/>
        <v>7195364.7999999998</v>
      </c>
    </row>
    <row r="151" spans="1:14">
      <c r="A151" s="284"/>
      <c r="B151" s="285" t="s">
        <v>70</v>
      </c>
      <c r="C151" s="290">
        <f>IF(C150&lt;2*908526*(1+$C$101)*(1+$C$149),106454*(1+$C$101)*(1+$C$149),0)</f>
        <v>0</v>
      </c>
      <c r="D151" s="290">
        <f t="shared" ref="D151:N151" si="68">IF(D150&lt;2*908526*(1+$C$101)*(1+$C$149),106454*(1+$C$101)*(1+$C$149),0)</f>
        <v>0</v>
      </c>
      <c r="E151" s="290">
        <f t="shared" si="68"/>
        <v>0</v>
      </c>
      <c r="F151" s="290">
        <f t="shared" si="68"/>
        <v>0</v>
      </c>
      <c r="G151" s="290">
        <f t="shared" si="68"/>
        <v>0</v>
      </c>
      <c r="H151" s="290">
        <f t="shared" si="68"/>
        <v>0</v>
      </c>
      <c r="I151" s="290">
        <f t="shared" si="68"/>
        <v>0</v>
      </c>
      <c r="J151" s="290">
        <f t="shared" si="68"/>
        <v>0</v>
      </c>
      <c r="K151" s="290">
        <f t="shared" si="68"/>
        <v>0</v>
      </c>
      <c r="L151" s="290">
        <f t="shared" si="68"/>
        <v>0</v>
      </c>
      <c r="M151" s="290">
        <f t="shared" si="68"/>
        <v>0</v>
      </c>
      <c r="N151" s="290">
        <f t="shared" si="68"/>
        <v>0</v>
      </c>
    </row>
    <row r="152" spans="1:14">
      <c r="A152" s="292"/>
      <c r="B152" s="285" t="s">
        <v>71</v>
      </c>
      <c r="C152" s="293">
        <v>0</v>
      </c>
      <c r="D152" s="293">
        <v>0</v>
      </c>
      <c r="E152" s="293">
        <v>0</v>
      </c>
      <c r="F152" s="293">
        <v>0</v>
      </c>
      <c r="G152" s="293">
        <v>0</v>
      </c>
      <c r="H152" s="293">
        <v>0</v>
      </c>
      <c r="I152" s="293">
        <v>0</v>
      </c>
      <c r="J152" s="293">
        <v>0</v>
      </c>
      <c r="K152" s="293">
        <v>0</v>
      </c>
      <c r="L152" s="293">
        <v>0</v>
      </c>
      <c r="M152" s="293">
        <v>0</v>
      </c>
      <c r="N152" s="294">
        <v>0</v>
      </c>
    </row>
    <row r="153" spans="1:14">
      <c r="A153" s="284"/>
      <c r="B153" s="285" t="s">
        <v>72</v>
      </c>
      <c r="C153" s="295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4"/>
    </row>
    <row r="154" spans="1:14">
      <c r="A154" s="284"/>
      <c r="B154" s="285" t="s">
        <v>73</v>
      </c>
      <c r="C154" s="295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4"/>
    </row>
    <row r="155" spans="1:14">
      <c r="A155" s="284"/>
      <c r="B155" s="285"/>
      <c r="C155" s="295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4"/>
    </row>
    <row r="156" spans="1:14">
      <c r="A156" s="405" t="s">
        <v>74</v>
      </c>
      <c r="B156" s="285" t="s">
        <v>75</v>
      </c>
      <c r="C156" s="290">
        <f t="shared" ref="C156:E156" si="69">SUM(C150:C154)</f>
        <v>7195364.7999999998</v>
      </c>
      <c r="D156" s="293">
        <f t="shared" si="69"/>
        <v>7195364.7999999998</v>
      </c>
      <c r="E156" s="293">
        <f t="shared" si="69"/>
        <v>7195364.7999999998</v>
      </c>
      <c r="F156" s="293">
        <f>SUM(F150:F154)</f>
        <v>7195364.7999999998</v>
      </c>
      <c r="G156" s="293">
        <f t="shared" ref="G156:N156" si="70">SUM(G150:G154)</f>
        <v>7195364.7999999998</v>
      </c>
      <c r="H156" s="293">
        <f t="shared" si="70"/>
        <v>7195364.7999999998</v>
      </c>
      <c r="I156" s="293">
        <f t="shared" si="70"/>
        <v>7195364.7999999998</v>
      </c>
      <c r="J156" s="293">
        <f t="shared" si="70"/>
        <v>7195364.7999999998</v>
      </c>
      <c r="K156" s="293">
        <f t="shared" si="70"/>
        <v>7195364.7999999998</v>
      </c>
      <c r="L156" s="293">
        <f t="shared" si="70"/>
        <v>7195364.7999999998</v>
      </c>
      <c r="M156" s="293">
        <f t="shared" si="70"/>
        <v>7195364.7999999998</v>
      </c>
      <c r="N156" s="294">
        <f t="shared" si="70"/>
        <v>7195364.7999999998</v>
      </c>
    </row>
    <row r="157" spans="1:14">
      <c r="A157" s="405"/>
      <c r="B157" s="285" t="s">
        <v>76</v>
      </c>
      <c r="C157" s="290">
        <f t="shared" ref="C157:N157" si="71">C156-C151</f>
        <v>7195364.7999999998</v>
      </c>
      <c r="D157" s="296">
        <f t="shared" si="71"/>
        <v>7195364.7999999998</v>
      </c>
      <c r="E157" s="296">
        <f t="shared" si="71"/>
        <v>7195364.7999999998</v>
      </c>
      <c r="F157" s="296">
        <f t="shared" si="71"/>
        <v>7195364.7999999998</v>
      </c>
      <c r="G157" s="296">
        <f t="shared" si="71"/>
        <v>7195364.7999999998</v>
      </c>
      <c r="H157" s="296">
        <f t="shared" si="71"/>
        <v>7195364.7999999998</v>
      </c>
      <c r="I157" s="296">
        <f t="shared" si="71"/>
        <v>7195364.7999999998</v>
      </c>
      <c r="J157" s="296">
        <f t="shared" si="71"/>
        <v>7195364.7999999998</v>
      </c>
      <c r="K157" s="296">
        <f t="shared" si="71"/>
        <v>7195364.7999999998</v>
      </c>
      <c r="L157" s="296">
        <f t="shared" si="71"/>
        <v>7195364.7999999998</v>
      </c>
      <c r="M157" s="296">
        <f t="shared" si="71"/>
        <v>7195364.7999999998</v>
      </c>
      <c r="N157" s="297">
        <f t="shared" si="71"/>
        <v>7195364.7999999998</v>
      </c>
    </row>
    <row r="158" spans="1:14">
      <c r="A158" s="284"/>
      <c r="B158" s="285"/>
      <c r="C158" s="290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7"/>
    </row>
    <row r="159" spans="1:14">
      <c r="A159" s="284"/>
      <c r="B159" s="285" t="s">
        <v>77</v>
      </c>
      <c r="C159" s="290">
        <f t="shared" ref="C159:N159" si="72">C156-C161-C164</f>
        <v>6619735.6159999995</v>
      </c>
      <c r="D159" s="296">
        <f t="shared" si="72"/>
        <v>6619735.6159999995</v>
      </c>
      <c r="E159" s="296">
        <f t="shared" si="72"/>
        <v>6619735.6159999995</v>
      </c>
      <c r="F159" s="296">
        <f t="shared" si="72"/>
        <v>6619735.6159999995</v>
      </c>
      <c r="G159" s="296">
        <f t="shared" si="72"/>
        <v>6619735.6159999995</v>
      </c>
      <c r="H159" s="296">
        <f t="shared" si="72"/>
        <v>6619735.6159999995</v>
      </c>
      <c r="I159" s="296">
        <f t="shared" si="72"/>
        <v>6619735.6159999995</v>
      </c>
      <c r="J159" s="296">
        <f t="shared" si="72"/>
        <v>6619735.6159999995</v>
      </c>
      <c r="K159" s="296">
        <f t="shared" si="72"/>
        <v>6619735.6159999995</v>
      </c>
      <c r="L159" s="296">
        <f t="shared" si="72"/>
        <v>6619735.6159999995</v>
      </c>
      <c r="M159" s="296">
        <f t="shared" si="72"/>
        <v>6619735.6159999995</v>
      </c>
      <c r="N159" s="297">
        <f t="shared" si="72"/>
        <v>6619735.6159999995</v>
      </c>
    </row>
    <row r="160" spans="1:14">
      <c r="A160" s="284"/>
      <c r="B160" s="285"/>
      <c r="C160" s="290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7"/>
    </row>
    <row r="161" spans="1:14">
      <c r="A161" s="403" t="s">
        <v>78</v>
      </c>
      <c r="B161" s="298" t="s">
        <v>79</v>
      </c>
      <c r="C161" s="290">
        <f t="shared" ref="C161:N161" si="73">C157*4%</f>
        <v>287814.592</v>
      </c>
      <c r="D161" s="296">
        <f t="shared" si="73"/>
        <v>287814.592</v>
      </c>
      <c r="E161" s="296">
        <f t="shared" si="73"/>
        <v>287814.592</v>
      </c>
      <c r="F161" s="296">
        <f t="shared" si="73"/>
        <v>287814.592</v>
      </c>
      <c r="G161" s="296">
        <f t="shared" si="73"/>
        <v>287814.592</v>
      </c>
      <c r="H161" s="296">
        <f t="shared" si="73"/>
        <v>287814.592</v>
      </c>
      <c r="I161" s="296">
        <f t="shared" si="73"/>
        <v>287814.592</v>
      </c>
      <c r="J161" s="296">
        <f t="shared" si="73"/>
        <v>287814.592</v>
      </c>
      <c r="K161" s="296">
        <f t="shared" si="73"/>
        <v>287814.592</v>
      </c>
      <c r="L161" s="296">
        <f t="shared" si="73"/>
        <v>287814.592</v>
      </c>
      <c r="M161" s="296">
        <f t="shared" si="73"/>
        <v>287814.592</v>
      </c>
      <c r="N161" s="297">
        <f t="shared" si="73"/>
        <v>287814.592</v>
      </c>
    </row>
    <row r="162" spans="1:14">
      <c r="A162" s="403"/>
      <c r="B162" s="298" t="s">
        <v>80</v>
      </c>
      <c r="C162" s="290">
        <f t="shared" ref="C162:N162" si="74">C157*8.5%</f>
        <v>611606.00800000003</v>
      </c>
      <c r="D162" s="296">
        <f t="shared" si="74"/>
        <v>611606.00800000003</v>
      </c>
      <c r="E162" s="296">
        <f t="shared" si="74"/>
        <v>611606.00800000003</v>
      </c>
      <c r="F162" s="296">
        <f t="shared" si="74"/>
        <v>611606.00800000003</v>
      </c>
      <c r="G162" s="296">
        <f t="shared" si="74"/>
        <v>611606.00800000003</v>
      </c>
      <c r="H162" s="296">
        <f t="shared" si="74"/>
        <v>611606.00800000003</v>
      </c>
      <c r="I162" s="296">
        <f t="shared" si="74"/>
        <v>611606.00800000003</v>
      </c>
      <c r="J162" s="296">
        <f t="shared" si="74"/>
        <v>611606.00800000003</v>
      </c>
      <c r="K162" s="296">
        <f t="shared" si="74"/>
        <v>611606.00800000003</v>
      </c>
      <c r="L162" s="296">
        <f t="shared" si="74"/>
        <v>611606.00800000003</v>
      </c>
      <c r="M162" s="296">
        <f t="shared" si="74"/>
        <v>611606.00800000003</v>
      </c>
      <c r="N162" s="297">
        <f t="shared" si="74"/>
        <v>611606.00800000003</v>
      </c>
    </row>
    <row r="163" spans="1:14">
      <c r="A163" s="284"/>
      <c r="B163" s="298"/>
      <c r="C163" s="290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7"/>
    </row>
    <row r="164" spans="1:14">
      <c r="A164" s="403" t="s">
        <v>81</v>
      </c>
      <c r="B164" s="298" t="s">
        <v>82</v>
      </c>
      <c r="C164" s="290">
        <f t="shared" ref="C164:N164" si="75">C157*4%</f>
        <v>287814.592</v>
      </c>
      <c r="D164" s="296">
        <f t="shared" si="75"/>
        <v>287814.592</v>
      </c>
      <c r="E164" s="296">
        <f t="shared" si="75"/>
        <v>287814.592</v>
      </c>
      <c r="F164" s="296">
        <f t="shared" si="75"/>
        <v>287814.592</v>
      </c>
      <c r="G164" s="296">
        <f t="shared" si="75"/>
        <v>287814.592</v>
      </c>
      <c r="H164" s="296">
        <f t="shared" si="75"/>
        <v>287814.592</v>
      </c>
      <c r="I164" s="296">
        <f t="shared" si="75"/>
        <v>287814.592</v>
      </c>
      <c r="J164" s="296">
        <f t="shared" si="75"/>
        <v>287814.592</v>
      </c>
      <c r="K164" s="296">
        <f t="shared" si="75"/>
        <v>287814.592</v>
      </c>
      <c r="L164" s="296">
        <f t="shared" si="75"/>
        <v>287814.592</v>
      </c>
      <c r="M164" s="296">
        <f t="shared" si="75"/>
        <v>287814.592</v>
      </c>
      <c r="N164" s="297">
        <f t="shared" si="75"/>
        <v>287814.592</v>
      </c>
    </row>
    <row r="165" spans="1:14">
      <c r="A165" s="403"/>
      <c r="B165" s="298" t="s">
        <v>80</v>
      </c>
      <c r="C165" s="290">
        <f t="shared" ref="C165:N165" si="76">C157*12%</f>
        <v>863443.77599999995</v>
      </c>
      <c r="D165" s="296">
        <f t="shared" si="76"/>
        <v>863443.77599999995</v>
      </c>
      <c r="E165" s="296">
        <f t="shared" si="76"/>
        <v>863443.77599999995</v>
      </c>
      <c r="F165" s="296">
        <f t="shared" si="76"/>
        <v>863443.77599999995</v>
      </c>
      <c r="G165" s="296">
        <f t="shared" si="76"/>
        <v>863443.77599999995</v>
      </c>
      <c r="H165" s="296">
        <f t="shared" si="76"/>
        <v>863443.77599999995</v>
      </c>
      <c r="I165" s="296">
        <f t="shared" si="76"/>
        <v>863443.77599999995</v>
      </c>
      <c r="J165" s="296">
        <f t="shared" si="76"/>
        <v>863443.77599999995</v>
      </c>
      <c r="K165" s="296">
        <f t="shared" si="76"/>
        <v>863443.77599999995</v>
      </c>
      <c r="L165" s="296">
        <f t="shared" si="76"/>
        <v>863443.77599999995</v>
      </c>
      <c r="M165" s="296">
        <f t="shared" si="76"/>
        <v>863443.77599999995</v>
      </c>
      <c r="N165" s="297">
        <f t="shared" si="76"/>
        <v>863443.77599999995</v>
      </c>
    </row>
    <row r="166" spans="1:14">
      <c r="A166" s="284"/>
      <c r="B166" s="298"/>
      <c r="C166" s="290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7"/>
    </row>
    <row r="167" spans="1:14">
      <c r="A167" s="284" t="s">
        <v>83</v>
      </c>
      <c r="B167" s="299">
        <v>1</v>
      </c>
      <c r="C167" s="290">
        <f>IF(B167=C146,D146*C157,IF(B167=C147,D147*C157,IF(B167=C148,D148*C157,0)))</f>
        <v>37559.804255999996</v>
      </c>
      <c r="D167" s="296">
        <f>IF(B167=C146,D146*C157,IF(B167=C147,D147*C157,IF(B167=C148,D148*C157,0)))</f>
        <v>37559.804255999996</v>
      </c>
      <c r="E167" s="296">
        <f>IF(B167=C146,D146*C157,IF(B167=C147,D147*C157,IF(B167=C148,D148*C157,0)))</f>
        <v>37559.804255999996</v>
      </c>
      <c r="F167" s="296">
        <f>IF(B167=C146,D146*C157,IF(B167=C147,D147*C157,IF(B167=C148,D148*C157,0)))</f>
        <v>37559.804255999996</v>
      </c>
      <c r="G167" s="296">
        <f>IF(B167=C146,D146*C157,IF(B167=C147,D147*C157,IF(B167=C148,D148*C157,0)))</f>
        <v>37559.804255999996</v>
      </c>
      <c r="H167" s="296">
        <f>IF(B167=C146,D146*C157,IF(B167=C147,D147*C157,IF(B167=C148,D148*C157,0)))</f>
        <v>37559.804255999996</v>
      </c>
      <c r="I167" s="296">
        <f>IF(B167=C146,D146*C157,IF(B167=C147,D147*C157,IF(B167=C148,D148*C157,0)))</f>
        <v>37559.804255999996</v>
      </c>
      <c r="J167" s="296">
        <f>IF(B167=C146,D146*C157,IF(B167=C147,D147*C157,IF(B167=C148,D148*C157,0)))</f>
        <v>37559.804255999996</v>
      </c>
      <c r="K167" s="296">
        <f>IF(B167=C146,D146*C157,IF(B167=C147,D147*C157,IF(B167=C148,D148*C157,0)))</f>
        <v>37559.804255999996</v>
      </c>
      <c r="L167" s="296">
        <f>IF(B167=C146,D146*C157,IF(B167=C147,D147*C157,IF(B167=C148,D148*C157,0)))</f>
        <v>37559.804255999996</v>
      </c>
      <c r="M167" s="296">
        <f>IF(B167=C146,D146*C157,IF(B167=C147,D147*C157,IF(B167=C148,D148*C157,0)))</f>
        <v>37559.804255999996</v>
      </c>
      <c r="N167" s="297">
        <f>IF(B167=C146,D146*C157,IF(B167=C147,D147*C157,IF(B167=C148,D148*C157,0)))</f>
        <v>37559.804255999996</v>
      </c>
    </row>
    <row r="168" spans="1:14">
      <c r="A168" s="284"/>
      <c r="B168" s="298"/>
      <c r="C168" s="290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7"/>
    </row>
    <row r="169" spans="1:14">
      <c r="A169" s="284"/>
      <c r="B169" s="298"/>
      <c r="C169" s="290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7"/>
    </row>
    <row r="170" spans="1:14">
      <c r="A170" s="403" t="s">
        <v>84</v>
      </c>
      <c r="B170" s="298" t="s">
        <v>85</v>
      </c>
      <c r="C170" s="290">
        <f t="shared" ref="C170:N170" si="77">2%*C157</f>
        <v>143907.296</v>
      </c>
      <c r="D170" s="296">
        <f t="shared" si="77"/>
        <v>143907.296</v>
      </c>
      <c r="E170" s="296">
        <f t="shared" si="77"/>
        <v>143907.296</v>
      </c>
      <c r="F170" s="296">
        <f t="shared" si="77"/>
        <v>143907.296</v>
      </c>
      <c r="G170" s="296">
        <f t="shared" si="77"/>
        <v>143907.296</v>
      </c>
      <c r="H170" s="296">
        <f t="shared" si="77"/>
        <v>143907.296</v>
      </c>
      <c r="I170" s="296">
        <f t="shared" si="77"/>
        <v>143907.296</v>
      </c>
      <c r="J170" s="296">
        <f t="shared" si="77"/>
        <v>143907.296</v>
      </c>
      <c r="K170" s="296">
        <f t="shared" si="77"/>
        <v>143907.296</v>
      </c>
      <c r="L170" s="296">
        <f t="shared" si="77"/>
        <v>143907.296</v>
      </c>
      <c r="M170" s="296">
        <f t="shared" si="77"/>
        <v>143907.296</v>
      </c>
      <c r="N170" s="297">
        <f t="shared" si="77"/>
        <v>143907.296</v>
      </c>
    </row>
    <row r="171" spans="1:14">
      <c r="A171" s="403"/>
      <c r="B171" s="298" t="s">
        <v>86</v>
      </c>
      <c r="C171" s="290">
        <f t="shared" ref="C171:N171" si="78">C157*3%</f>
        <v>215860.94399999999</v>
      </c>
      <c r="D171" s="296">
        <f t="shared" si="78"/>
        <v>215860.94399999999</v>
      </c>
      <c r="E171" s="296">
        <f t="shared" si="78"/>
        <v>215860.94399999999</v>
      </c>
      <c r="F171" s="296">
        <f t="shared" si="78"/>
        <v>215860.94399999999</v>
      </c>
      <c r="G171" s="296">
        <f t="shared" si="78"/>
        <v>215860.94399999999</v>
      </c>
      <c r="H171" s="296">
        <f t="shared" si="78"/>
        <v>215860.94399999999</v>
      </c>
      <c r="I171" s="296">
        <f t="shared" si="78"/>
        <v>215860.94399999999</v>
      </c>
      <c r="J171" s="296">
        <f t="shared" si="78"/>
        <v>215860.94399999999</v>
      </c>
      <c r="K171" s="296">
        <f t="shared" si="78"/>
        <v>215860.94399999999</v>
      </c>
      <c r="L171" s="296">
        <f t="shared" si="78"/>
        <v>215860.94399999999</v>
      </c>
      <c r="M171" s="296">
        <f t="shared" si="78"/>
        <v>215860.94399999999</v>
      </c>
      <c r="N171" s="297">
        <f t="shared" si="78"/>
        <v>215860.94399999999</v>
      </c>
    </row>
    <row r="172" spans="1:14">
      <c r="A172" s="403"/>
      <c r="B172" s="298" t="s">
        <v>87</v>
      </c>
      <c r="C172" s="290">
        <f t="shared" ref="C172:N172" si="79">C157*4%</f>
        <v>287814.592</v>
      </c>
      <c r="D172" s="296">
        <f t="shared" si="79"/>
        <v>287814.592</v>
      </c>
      <c r="E172" s="296">
        <f t="shared" si="79"/>
        <v>287814.592</v>
      </c>
      <c r="F172" s="296">
        <f t="shared" si="79"/>
        <v>287814.592</v>
      </c>
      <c r="G172" s="296">
        <f t="shared" si="79"/>
        <v>287814.592</v>
      </c>
      <c r="H172" s="296">
        <f t="shared" si="79"/>
        <v>287814.592</v>
      </c>
      <c r="I172" s="296">
        <f t="shared" si="79"/>
        <v>287814.592</v>
      </c>
      <c r="J172" s="296">
        <f t="shared" si="79"/>
        <v>287814.592</v>
      </c>
      <c r="K172" s="296">
        <f t="shared" si="79"/>
        <v>287814.592</v>
      </c>
      <c r="L172" s="296">
        <f t="shared" si="79"/>
        <v>287814.592</v>
      </c>
      <c r="M172" s="296">
        <f t="shared" si="79"/>
        <v>287814.592</v>
      </c>
      <c r="N172" s="297">
        <f t="shared" si="79"/>
        <v>287814.592</v>
      </c>
    </row>
    <row r="173" spans="1:14">
      <c r="A173" s="284"/>
      <c r="B173" s="298"/>
      <c r="C173" s="290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7"/>
    </row>
    <row r="174" spans="1:14">
      <c r="A174" s="284"/>
      <c r="B174" s="298" t="s">
        <v>88</v>
      </c>
      <c r="C174" s="290">
        <f t="shared" ref="C174:D174" si="80">C156*(25/3)%</f>
        <v>599613.7333333334</v>
      </c>
      <c r="D174" s="296">
        <f t="shared" si="80"/>
        <v>599613.7333333334</v>
      </c>
      <c r="E174" s="296">
        <f>E156*(25/3)%</f>
        <v>599613.7333333334</v>
      </c>
      <c r="F174" s="296">
        <f t="shared" ref="F174:N174" si="81">F156*(25/3)%</f>
        <v>599613.7333333334</v>
      </c>
      <c r="G174" s="296">
        <f t="shared" si="81"/>
        <v>599613.7333333334</v>
      </c>
      <c r="H174" s="296">
        <f t="shared" si="81"/>
        <v>599613.7333333334</v>
      </c>
      <c r="I174" s="296">
        <f t="shared" si="81"/>
        <v>599613.7333333334</v>
      </c>
      <c r="J174" s="296">
        <f t="shared" si="81"/>
        <v>599613.7333333334</v>
      </c>
      <c r="K174" s="296">
        <f t="shared" si="81"/>
        <v>599613.7333333334</v>
      </c>
      <c r="L174" s="296">
        <f t="shared" si="81"/>
        <v>599613.7333333334</v>
      </c>
      <c r="M174" s="296">
        <f t="shared" si="81"/>
        <v>599613.7333333334</v>
      </c>
      <c r="N174" s="297">
        <f t="shared" si="81"/>
        <v>599613.7333333334</v>
      </c>
    </row>
    <row r="175" spans="1:14">
      <c r="A175" s="284"/>
      <c r="B175" s="298" t="s">
        <v>89</v>
      </c>
      <c r="C175" s="290">
        <f t="shared" ref="C175:N175" si="82">C156*(25/3)%</f>
        <v>599613.7333333334</v>
      </c>
      <c r="D175" s="296">
        <f t="shared" si="82"/>
        <v>599613.7333333334</v>
      </c>
      <c r="E175" s="296">
        <f t="shared" si="82"/>
        <v>599613.7333333334</v>
      </c>
      <c r="F175" s="296">
        <f t="shared" si="82"/>
        <v>599613.7333333334</v>
      </c>
      <c r="G175" s="296">
        <f t="shared" si="82"/>
        <v>599613.7333333334</v>
      </c>
      <c r="H175" s="296">
        <f t="shared" si="82"/>
        <v>599613.7333333334</v>
      </c>
      <c r="I175" s="296">
        <f t="shared" si="82"/>
        <v>599613.7333333334</v>
      </c>
      <c r="J175" s="296">
        <f t="shared" si="82"/>
        <v>599613.7333333334</v>
      </c>
      <c r="K175" s="296">
        <f t="shared" si="82"/>
        <v>599613.7333333334</v>
      </c>
      <c r="L175" s="296">
        <f t="shared" si="82"/>
        <v>599613.7333333334</v>
      </c>
      <c r="M175" s="296">
        <f t="shared" si="82"/>
        <v>599613.7333333334</v>
      </c>
      <c r="N175" s="297">
        <f t="shared" si="82"/>
        <v>599613.7333333334</v>
      </c>
    </row>
    <row r="176" spans="1:14">
      <c r="A176" s="284"/>
      <c r="B176" s="298" t="s">
        <v>90</v>
      </c>
      <c r="C176" s="290">
        <f t="shared" ref="C176:N176" si="83">C175*12%</f>
        <v>71953.648000000001</v>
      </c>
      <c r="D176" s="296">
        <f t="shared" si="83"/>
        <v>71953.648000000001</v>
      </c>
      <c r="E176" s="296">
        <f t="shared" si="83"/>
        <v>71953.648000000001</v>
      </c>
      <c r="F176" s="296">
        <f t="shared" si="83"/>
        <v>71953.648000000001</v>
      </c>
      <c r="G176" s="296">
        <f t="shared" si="83"/>
        <v>71953.648000000001</v>
      </c>
      <c r="H176" s="296">
        <f t="shared" si="83"/>
        <v>71953.648000000001</v>
      </c>
      <c r="I176" s="296">
        <f t="shared" si="83"/>
        <v>71953.648000000001</v>
      </c>
      <c r="J176" s="296">
        <f t="shared" si="83"/>
        <v>71953.648000000001</v>
      </c>
      <c r="K176" s="296">
        <f t="shared" si="83"/>
        <v>71953.648000000001</v>
      </c>
      <c r="L176" s="296">
        <f t="shared" si="83"/>
        <v>71953.648000000001</v>
      </c>
      <c r="M176" s="296">
        <f t="shared" si="83"/>
        <v>71953.648000000001</v>
      </c>
      <c r="N176" s="297">
        <f t="shared" si="83"/>
        <v>71953.648000000001</v>
      </c>
    </row>
    <row r="177" spans="1:14">
      <c r="A177" s="284"/>
      <c r="B177" s="298" t="s">
        <v>91</v>
      </c>
      <c r="C177" s="290">
        <f t="shared" ref="C177:N177" si="84">C150*(25/6)%</f>
        <v>299806.8666666667</v>
      </c>
      <c r="D177" s="296">
        <f t="shared" si="84"/>
        <v>299806.8666666667</v>
      </c>
      <c r="E177" s="296">
        <f t="shared" si="84"/>
        <v>299806.8666666667</v>
      </c>
      <c r="F177" s="296">
        <f t="shared" si="84"/>
        <v>299806.8666666667</v>
      </c>
      <c r="G177" s="296">
        <f t="shared" si="84"/>
        <v>299806.8666666667</v>
      </c>
      <c r="H177" s="296">
        <f t="shared" si="84"/>
        <v>299806.8666666667</v>
      </c>
      <c r="I177" s="296">
        <f t="shared" si="84"/>
        <v>299806.8666666667</v>
      </c>
      <c r="J177" s="296">
        <f t="shared" si="84"/>
        <v>299806.8666666667</v>
      </c>
      <c r="K177" s="296">
        <f t="shared" si="84"/>
        <v>299806.8666666667</v>
      </c>
      <c r="L177" s="296">
        <f t="shared" si="84"/>
        <v>299806.8666666667</v>
      </c>
      <c r="M177" s="296">
        <f t="shared" si="84"/>
        <v>299806.8666666667</v>
      </c>
      <c r="N177" s="297">
        <f t="shared" si="84"/>
        <v>299806.8666666667</v>
      </c>
    </row>
    <row r="178" spans="1:14">
      <c r="A178" s="284"/>
      <c r="B178" s="285"/>
      <c r="C178" s="290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7"/>
    </row>
    <row r="179" spans="1:14">
      <c r="A179" s="284"/>
      <c r="B179" s="285" t="s">
        <v>92</v>
      </c>
      <c r="C179" s="290">
        <f t="shared" ref="C179:N179" si="85">SUM(C159,C161:C177)</f>
        <v>10926545.201589337</v>
      </c>
      <c r="D179" s="296">
        <f t="shared" si="85"/>
        <v>10926545.201589337</v>
      </c>
      <c r="E179" s="296">
        <f t="shared" si="85"/>
        <v>10926545.201589337</v>
      </c>
      <c r="F179" s="296">
        <f t="shared" si="85"/>
        <v>10926545.201589337</v>
      </c>
      <c r="G179" s="296">
        <f t="shared" si="85"/>
        <v>10926545.201589337</v>
      </c>
      <c r="H179" s="296">
        <f t="shared" si="85"/>
        <v>10926545.201589337</v>
      </c>
      <c r="I179" s="296">
        <f t="shared" si="85"/>
        <v>10926545.201589337</v>
      </c>
      <c r="J179" s="296">
        <f t="shared" si="85"/>
        <v>10926545.201589337</v>
      </c>
      <c r="K179" s="296">
        <f t="shared" si="85"/>
        <v>10926545.201589337</v>
      </c>
      <c r="L179" s="296">
        <f t="shared" si="85"/>
        <v>10926545.201589337</v>
      </c>
      <c r="M179" s="296">
        <f t="shared" si="85"/>
        <v>10926545.201589337</v>
      </c>
      <c r="N179" s="297">
        <f t="shared" si="85"/>
        <v>10926545.201589337</v>
      </c>
    </row>
    <row r="180" spans="1:14">
      <c r="A180" s="284"/>
      <c r="B180" s="285" t="s">
        <v>93</v>
      </c>
      <c r="C180" s="290">
        <f>C179-SUM(C174:C177)</f>
        <v>9355557.2202560026</v>
      </c>
      <c r="D180" s="296">
        <f t="shared" ref="D180:N180" si="86">D179-SUM(D174:D177)</f>
        <v>9355557.2202560026</v>
      </c>
      <c r="E180" s="296">
        <f t="shared" si="86"/>
        <v>9355557.2202560026</v>
      </c>
      <c r="F180" s="296">
        <f t="shared" si="86"/>
        <v>9355557.2202560026</v>
      </c>
      <c r="G180" s="296">
        <f t="shared" si="86"/>
        <v>9355557.2202560026</v>
      </c>
      <c r="H180" s="296">
        <f t="shared" si="86"/>
        <v>9355557.2202560026</v>
      </c>
      <c r="I180" s="296">
        <f t="shared" si="86"/>
        <v>9355557.2202560026</v>
      </c>
      <c r="J180" s="296">
        <f t="shared" si="86"/>
        <v>9355557.2202560026</v>
      </c>
      <c r="K180" s="296">
        <f t="shared" si="86"/>
        <v>9355557.2202560026</v>
      </c>
      <c r="L180" s="296">
        <f t="shared" si="86"/>
        <v>9355557.2202560026</v>
      </c>
      <c r="M180" s="296">
        <f t="shared" si="86"/>
        <v>9355557.2202560026</v>
      </c>
      <c r="N180" s="297">
        <f t="shared" si="86"/>
        <v>9355557.2202560026</v>
      </c>
    </row>
    <row r="181" spans="1:14">
      <c r="A181" s="284"/>
      <c r="B181" s="285" t="s">
        <v>94</v>
      </c>
      <c r="C181" s="300">
        <v>2</v>
      </c>
      <c r="D181" s="300">
        <f>C181</f>
        <v>2</v>
      </c>
      <c r="E181" s="300">
        <f t="shared" ref="E181:N181" si="87">D181</f>
        <v>2</v>
      </c>
      <c r="F181" s="300">
        <f t="shared" si="87"/>
        <v>2</v>
      </c>
      <c r="G181" s="300">
        <f t="shared" si="87"/>
        <v>2</v>
      </c>
      <c r="H181" s="300">
        <f t="shared" si="87"/>
        <v>2</v>
      </c>
      <c r="I181" s="300">
        <f t="shared" si="87"/>
        <v>2</v>
      </c>
      <c r="J181" s="300">
        <f t="shared" si="87"/>
        <v>2</v>
      </c>
      <c r="K181" s="300">
        <f t="shared" si="87"/>
        <v>2</v>
      </c>
      <c r="L181" s="300">
        <f t="shared" si="87"/>
        <v>2</v>
      </c>
      <c r="M181" s="300">
        <f t="shared" si="87"/>
        <v>2</v>
      </c>
      <c r="N181" s="301">
        <f t="shared" si="87"/>
        <v>2</v>
      </c>
    </row>
    <row r="182" spans="1:14">
      <c r="A182" s="284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7"/>
    </row>
    <row r="183" spans="1:14">
      <c r="A183" s="284"/>
      <c r="B183" s="285"/>
      <c r="C183" s="286">
        <f>(C179*100%/C157)-1</f>
        <v>0.51855333333333387</v>
      </c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7"/>
    </row>
    <row r="184" spans="1:14">
      <c r="A184" s="284"/>
      <c r="B184" s="285"/>
      <c r="C184" s="293" t="s">
        <v>55</v>
      </c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7"/>
    </row>
    <row r="185" spans="1:14">
      <c r="A185" s="284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7"/>
    </row>
    <row r="186" spans="1:14">
      <c r="A186" s="284"/>
      <c r="B186" s="285"/>
      <c r="C186" s="285" t="s">
        <v>93</v>
      </c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7"/>
    </row>
    <row r="187" spans="1:14">
      <c r="A187" s="284"/>
      <c r="B187" s="285"/>
      <c r="C187" s="285" t="s">
        <v>95</v>
      </c>
      <c r="D187" s="285">
        <v>1</v>
      </c>
      <c r="E187" s="285">
        <v>2</v>
      </c>
      <c r="F187" s="285">
        <v>3</v>
      </c>
      <c r="G187" s="285">
        <v>4</v>
      </c>
      <c r="H187" s="285"/>
      <c r="I187" s="285"/>
      <c r="J187" s="285"/>
      <c r="K187" s="285"/>
      <c r="L187" s="285"/>
      <c r="M187" s="285"/>
      <c r="N187" s="287"/>
    </row>
    <row r="188" spans="1:14">
      <c r="A188" s="284"/>
      <c r="B188" s="285"/>
      <c r="C188" s="285"/>
      <c r="D188" s="296">
        <f>SUM(C180:E180)</f>
        <v>28066671.66076801</v>
      </c>
      <c r="E188" s="296">
        <f>SUM(F180:H180,C174:H174)</f>
        <v>31664354.060768016</v>
      </c>
      <c r="F188" s="296">
        <f>SUM(I180:K180)</f>
        <v>28066671.66076801</v>
      </c>
      <c r="G188" s="296">
        <f>SUM(L180:N180,C177:N177,C176:N176,C175:N175,I174:N174)</f>
        <v>43320845.036768012</v>
      </c>
      <c r="H188" s="285"/>
      <c r="I188" s="285"/>
      <c r="J188" s="285"/>
      <c r="K188" s="285"/>
      <c r="L188" s="285"/>
      <c r="M188" s="285"/>
      <c r="N188" s="287"/>
    </row>
    <row r="189" spans="1:14">
      <c r="A189" s="284"/>
      <c r="B189" s="285"/>
      <c r="C189" s="285"/>
      <c r="D189" s="302">
        <f>D188*$C$37</f>
        <v>56133343.321536019</v>
      </c>
      <c r="E189" s="302">
        <f t="shared" ref="E189:G189" si="88">E188*$C$37</f>
        <v>63328708.121536031</v>
      </c>
      <c r="F189" s="302">
        <f t="shared" si="88"/>
        <v>56133343.321536019</v>
      </c>
      <c r="G189" s="302">
        <f t="shared" si="88"/>
        <v>86641690.073536023</v>
      </c>
      <c r="H189" s="285"/>
      <c r="I189" s="285"/>
      <c r="J189" s="285"/>
      <c r="K189" s="285"/>
      <c r="L189" s="285"/>
      <c r="M189" s="285"/>
      <c r="N189" s="287"/>
    </row>
    <row r="190" spans="1:14">
      <c r="A190" s="284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7"/>
    </row>
    <row r="191" spans="1:14">
      <c r="A191" s="284"/>
      <c r="B191" s="285" t="s">
        <v>96</v>
      </c>
      <c r="C191" s="303">
        <f>SUM(C159,C161:C162,C164:C165,C167,C170:C172,C128:N128)</f>
        <v>10185791.620255992</v>
      </c>
      <c r="D191" s="303">
        <f>SUM(D159,D161:D162,D164:D165,D167,D170:D172,C127:N127,)</f>
        <v>16274177.220255993</v>
      </c>
      <c r="E191" s="303">
        <f>SUM(E159,E161:E162,E164:E165,E167,E170:E172)</f>
        <v>9355557.2202560008</v>
      </c>
      <c r="F191" s="303">
        <f>SUM(F159,F161:F162,F164:F165,F167,F170:F172)</f>
        <v>9355557.2202560008</v>
      </c>
      <c r="G191" s="303">
        <f>SUM(G159,G161:G162,G164:G165,G167,G170:G172)</f>
        <v>9355557.2202560008</v>
      </c>
      <c r="H191" s="303">
        <f>SUM(H159,H161:H162,H164:H165,H167,H170:H172,C174:H174)</f>
        <v>12953239.620256007</v>
      </c>
      <c r="I191" s="303">
        <f>SUM(I159,I161:I162,I164:I165,I167,I170:I172)</f>
        <v>9355557.2202560008</v>
      </c>
      <c r="J191" s="303">
        <f t="shared" ref="J191:M191" si="89">SUM(J159,J161:J162,J164:J165,J167,J170:J172)</f>
        <v>9355557.2202560008</v>
      </c>
      <c r="K191" s="303">
        <f t="shared" si="89"/>
        <v>9355557.2202560008</v>
      </c>
      <c r="L191" s="303">
        <f t="shared" si="89"/>
        <v>9355557.2202560008</v>
      </c>
      <c r="M191" s="303">
        <f t="shared" si="89"/>
        <v>9355557.2202560008</v>
      </c>
      <c r="N191" s="304">
        <f>SUM(N159,N161:N162,N164:N165,N167,N170:N172,I174:N174,C177:N177,C175:N175,C176:N176)</f>
        <v>24609730.596256003</v>
      </c>
    </row>
    <row r="192" spans="1:14" ht="15.75" thickBot="1">
      <c r="A192" s="305"/>
      <c r="B192" s="306" t="s">
        <v>97</v>
      </c>
      <c r="C192" s="307">
        <f>SUM(C191:N191)</f>
        <v>138867396.81907201</v>
      </c>
      <c r="D192" s="308"/>
      <c r="E192" s="306"/>
      <c r="F192" s="306"/>
      <c r="G192" s="306"/>
      <c r="H192" s="306"/>
      <c r="I192" s="306"/>
      <c r="J192" s="306"/>
      <c r="K192" s="306"/>
      <c r="L192" s="306"/>
      <c r="M192" s="306"/>
      <c r="N192" s="309"/>
    </row>
    <row r="194" spans="2:5">
      <c r="B194" t="s">
        <v>168</v>
      </c>
      <c r="C194">
        <v>2021</v>
      </c>
      <c r="D194">
        <v>2022</v>
      </c>
      <c r="E194">
        <v>2023</v>
      </c>
    </row>
    <row r="195" spans="2:5">
      <c r="B195" t="s">
        <v>169</v>
      </c>
      <c r="C195" s="150">
        <f>C96</f>
        <v>111628931.28</v>
      </c>
      <c r="D195" s="150">
        <f>C144</f>
        <v>125636907.15679996</v>
      </c>
      <c r="E195" s="150">
        <f>C192</f>
        <v>138867396.81907201</v>
      </c>
    </row>
    <row r="196" spans="2:5">
      <c r="B196" t="s">
        <v>170</v>
      </c>
      <c r="C196">
        <v>1</v>
      </c>
      <c r="D196">
        <f>C196</f>
        <v>1</v>
      </c>
      <c r="E196">
        <f>D196</f>
        <v>1</v>
      </c>
    </row>
    <row r="197" spans="2:5">
      <c r="B197" s="107" t="s">
        <v>171</v>
      </c>
      <c r="C197" s="151">
        <f>C195*C196</f>
        <v>111628931.28</v>
      </c>
      <c r="D197" s="151">
        <f t="shared" ref="D197:E197" si="90">D195*D196</f>
        <v>125636907.15679996</v>
      </c>
      <c r="E197" s="151">
        <f t="shared" si="90"/>
        <v>138867396.81907201</v>
      </c>
    </row>
  </sheetData>
  <mergeCells count="16">
    <mergeCell ref="A108:A109"/>
    <mergeCell ref="A12:A13"/>
    <mergeCell ref="A17:A18"/>
    <mergeCell ref="A20:A21"/>
    <mergeCell ref="A26:A28"/>
    <mergeCell ref="A60:A61"/>
    <mergeCell ref="A65:A66"/>
    <mergeCell ref="A68:A69"/>
    <mergeCell ref="A74:A76"/>
    <mergeCell ref="A164:A165"/>
    <mergeCell ref="A170:A172"/>
    <mergeCell ref="A113:A114"/>
    <mergeCell ref="A116:A117"/>
    <mergeCell ref="A122:A124"/>
    <mergeCell ref="A156:A157"/>
    <mergeCell ref="A161:A1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44"/>
  <sheetViews>
    <sheetView zoomScale="70" zoomScaleNormal="70" workbookViewId="0">
      <selection activeCell="I3" sqref="I3"/>
    </sheetView>
  </sheetViews>
  <sheetFormatPr baseColWidth="10" defaultRowHeight="16.5"/>
  <cols>
    <col min="1" max="3" width="11.42578125" style="70"/>
    <col min="4" max="4" width="13.85546875" style="70" bestFit="1" customWidth="1"/>
    <col min="5" max="5" width="14.42578125" style="70" bestFit="1" customWidth="1"/>
    <col min="6" max="6" width="14.28515625" style="70" bestFit="1" customWidth="1"/>
    <col min="7" max="7" width="15.42578125" style="70" bestFit="1" customWidth="1"/>
    <col min="8" max="8" width="16.5703125" style="70" bestFit="1" customWidth="1"/>
    <col min="9" max="9" width="15.85546875" style="70" bestFit="1" customWidth="1"/>
    <col min="10" max="10" width="16.42578125" style="70" customWidth="1"/>
    <col min="11" max="13" width="13.42578125" style="70" bestFit="1" customWidth="1"/>
    <col min="14" max="16384" width="11.42578125" style="70"/>
  </cols>
  <sheetData>
    <row r="2" spans="2:13" ht="15" customHeight="1">
      <c r="B2" s="423" t="str">
        <f>'[1]DATOS EJERCICIO'!B35</f>
        <v xml:space="preserve">Compra de muebles préstamos </v>
      </c>
      <c r="C2" s="424"/>
      <c r="D2" s="424"/>
      <c r="E2" s="425"/>
      <c r="G2" s="71" t="s">
        <v>58</v>
      </c>
      <c r="H2" s="71" t="s">
        <v>59</v>
      </c>
      <c r="I2" s="72" t="s">
        <v>60</v>
      </c>
      <c r="J2" s="72" t="s">
        <v>61</v>
      </c>
    </row>
    <row r="3" spans="2:13">
      <c r="B3" s="417" t="str">
        <f>'[1]DATOS EJERCICIO'!B36</f>
        <v xml:space="preserve">Valor </v>
      </c>
      <c r="C3" s="418"/>
      <c r="D3" s="426">
        <v>350000000</v>
      </c>
      <c r="E3" s="427"/>
      <c r="G3" s="73">
        <v>2021</v>
      </c>
      <c r="H3" s="74">
        <f>SUM(F9:F20)</f>
        <v>144363355.8148534</v>
      </c>
      <c r="I3" s="75">
        <f>SUM(E9:E20)</f>
        <v>43943527.133870967</v>
      </c>
      <c r="J3" s="76">
        <f>SUM(G9:G20)</f>
        <v>100419828.68098243</v>
      </c>
    </row>
    <row r="4" spans="2:13">
      <c r="B4" s="417" t="str">
        <f>'[1]DATOS EJERCICIO'!B37</f>
        <v>Tasa MV</v>
      </c>
      <c r="C4" s="418"/>
      <c r="D4" s="421">
        <v>1.2E-2</v>
      </c>
      <c r="E4" s="422"/>
      <c r="G4" s="73">
        <v>2022</v>
      </c>
      <c r="H4" s="74">
        <f>SUM(F21:F32)</f>
        <v>144363355.8148534</v>
      </c>
      <c r="I4" s="75">
        <f>SUM(E21:E32)</f>
        <v>28489455.338531509</v>
      </c>
      <c r="J4" s="76">
        <f>SUM(G21:G32)</f>
        <v>115873900.47632188</v>
      </c>
    </row>
    <row r="5" spans="2:13">
      <c r="B5" s="417" t="str">
        <f>'[1]DATOS EJERCICIO'!B38</f>
        <v xml:space="preserve">Plazo </v>
      </c>
      <c r="C5" s="418"/>
      <c r="D5" s="417">
        <f>3*12</f>
        <v>36</v>
      </c>
      <c r="E5" s="418"/>
      <c r="G5" s="73">
        <v>2023</v>
      </c>
      <c r="H5" s="74">
        <f>SUM(F33:F44)</f>
        <v>144363355.8148534</v>
      </c>
      <c r="I5" s="75">
        <f>SUM(E33:E44)</f>
        <v>10657084.972157586</v>
      </c>
      <c r="J5" s="76">
        <f>SUM(G33:G44)</f>
        <v>133706270.8426958</v>
      </c>
    </row>
    <row r="6" spans="2:13">
      <c r="B6" s="417" t="s">
        <v>59</v>
      </c>
      <c r="C6" s="418"/>
      <c r="D6" s="419">
        <f>-PMT(D4,D5,D3)</f>
        <v>12030279.651237782</v>
      </c>
      <c r="E6" s="420"/>
    </row>
    <row r="7" spans="2:13" ht="17.25" thickBot="1"/>
    <row r="8" spans="2:13" ht="17.25" thickBot="1">
      <c r="B8" s="77" t="s">
        <v>4</v>
      </c>
      <c r="C8" s="78" t="s">
        <v>62</v>
      </c>
      <c r="D8" s="79"/>
      <c r="E8" s="79" t="s">
        <v>63</v>
      </c>
      <c r="F8" s="79" t="s">
        <v>64</v>
      </c>
      <c r="G8" s="79" t="s">
        <v>65</v>
      </c>
      <c r="H8" s="80" t="s">
        <v>66</v>
      </c>
      <c r="J8" s="153" t="str">
        <f t="array" ref="J8:M11">TRANSPOSE(G2:J5)</f>
        <v>Año</v>
      </c>
      <c r="K8" s="152">
        <v>2021</v>
      </c>
      <c r="L8" s="152">
        <v>2022</v>
      </c>
      <c r="M8" s="152">
        <v>2023</v>
      </c>
    </row>
    <row r="9" spans="2:13">
      <c r="B9" s="411">
        <v>2021</v>
      </c>
      <c r="C9" s="81">
        <v>1</v>
      </c>
      <c r="D9" s="82">
        <f>D3</f>
        <v>350000000</v>
      </c>
      <c r="E9" s="83">
        <f t="shared" ref="E9:E44" si="0">$D$4*D9</f>
        <v>4200000</v>
      </c>
      <c r="F9" s="84">
        <f t="shared" ref="F9:F44" si="1">$D$6</f>
        <v>12030279.651237782</v>
      </c>
      <c r="G9" s="83">
        <f>F9-E9</f>
        <v>7830279.6512377821</v>
      </c>
      <c r="H9" s="85">
        <f>D9-G9</f>
        <v>342169720.34876221</v>
      </c>
      <c r="J9" s="153" t="str">
        <v xml:space="preserve">Pago </v>
      </c>
      <c r="K9" s="154">
        <v>144363355.8148534</v>
      </c>
      <c r="L9" s="154">
        <v>144363355.8148534</v>
      </c>
      <c r="M9" s="154">
        <v>144363355.8148534</v>
      </c>
    </row>
    <row r="10" spans="2:13">
      <c r="B10" s="412"/>
      <c r="C10" s="86">
        <v>2</v>
      </c>
      <c r="D10" s="87">
        <f t="shared" ref="D10:D44" si="2">H9</f>
        <v>342169720.34876221</v>
      </c>
      <c r="E10" s="88">
        <f t="shared" si="0"/>
        <v>4106036.6441851468</v>
      </c>
      <c r="F10" s="89">
        <f t="shared" si="1"/>
        <v>12030279.651237782</v>
      </c>
      <c r="G10" s="88">
        <f t="shared" ref="G10:G44" si="3">F10-E10</f>
        <v>7924243.0070526358</v>
      </c>
      <c r="H10" s="90">
        <f t="shared" ref="H10:H44" si="4">D10-G10</f>
        <v>334245477.34170955</v>
      </c>
      <c r="J10" s="153" t="str">
        <v>Interés</v>
      </c>
      <c r="K10" s="154">
        <v>43943527.133870967</v>
      </c>
      <c r="L10" s="154">
        <v>28489455.338531509</v>
      </c>
      <c r="M10" s="154">
        <v>10657084.972157586</v>
      </c>
    </row>
    <row r="11" spans="2:13">
      <c r="B11" s="412"/>
      <c r="C11" s="86">
        <v>3</v>
      </c>
      <c r="D11" s="87">
        <f t="shared" si="2"/>
        <v>334245477.34170955</v>
      </c>
      <c r="E11" s="88">
        <f t="shared" si="0"/>
        <v>4010945.7281005145</v>
      </c>
      <c r="F11" s="89">
        <f t="shared" si="1"/>
        <v>12030279.651237782</v>
      </c>
      <c r="G11" s="88">
        <f t="shared" si="3"/>
        <v>8019333.9231372681</v>
      </c>
      <c r="H11" s="90">
        <f t="shared" si="4"/>
        <v>326226143.41857231</v>
      </c>
      <c r="J11" s="153" t="str">
        <v>Amortizacion</v>
      </c>
      <c r="K11" s="154">
        <v>100419828.68098243</v>
      </c>
      <c r="L11" s="154">
        <v>115873900.47632188</v>
      </c>
      <c r="M11" s="154">
        <v>133706270.8426958</v>
      </c>
    </row>
    <row r="12" spans="2:13">
      <c r="B12" s="412"/>
      <c r="C12" s="86">
        <v>4</v>
      </c>
      <c r="D12" s="87">
        <f t="shared" si="2"/>
        <v>326226143.41857231</v>
      </c>
      <c r="E12" s="88">
        <f t="shared" si="0"/>
        <v>3914713.7210228676</v>
      </c>
      <c r="F12" s="89">
        <f t="shared" si="1"/>
        <v>12030279.651237782</v>
      </c>
      <c r="G12" s="88">
        <f t="shared" si="3"/>
        <v>8115565.9302149145</v>
      </c>
      <c r="H12" s="90">
        <f t="shared" si="4"/>
        <v>318110577.48835737</v>
      </c>
    </row>
    <row r="13" spans="2:13">
      <c r="B13" s="412"/>
      <c r="C13" s="86">
        <v>5</v>
      </c>
      <c r="D13" s="87">
        <f t="shared" si="2"/>
        <v>318110577.48835737</v>
      </c>
      <c r="E13" s="88">
        <f t="shared" si="0"/>
        <v>3817326.9298602883</v>
      </c>
      <c r="F13" s="89">
        <f t="shared" si="1"/>
        <v>12030279.651237782</v>
      </c>
      <c r="G13" s="88">
        <f t="shared" si="3"/>
        <v>8212952.7213774938</v>
      </c>
      <c r="H13" s="90">
        <f t="shared" si="4"/>
        <v>309897624.76697987</v>
      </c>
    </row>
    <row r="14" spans="2:13">
      <c r="B14" s="412"/>
      <c r="C14" s="86">
        <v>6</v>
      </c>
      <c r="D14" s="87">
        <f t="shared" si="2"/>
        <v>309897624.76697987</v>
      </c>
      <c r="E14" s="88">
        <f t="shared" si="0"/>
        <v>3718771.4972037585</v>
      </c>
      <c r="F14" s="89">
        <f t="shared" si="1"/>
        <v>12030279.651237782</v>
      </c>
      <c r="G14" s="88">
        <f t="shared" si="3"/>
        <v>8311508.1540340241</v>
      </c>
      <c r="H14" s="90">
        <f t="shared" si="4"/>
        <v>301586116.61294585</v>
      </c>
    </row>
    <row r="15" spans="2:13">
      <c r="B15" s="412"/>
      <c r="C15" s="86">
        <v>7</v>
      </c>
      <c r="D15" s="87">
        <f t="shared" si="2"/>
        <v>301586116.61294585</v>
      </c>
      <c r="E15" s="88">
        <f t="shared" si="0"/>
        <v>3619033.3993553505</v>
      </c>
      <c r="F15" s="89">
        <f t="shared" si="1"/>
        <v>12030279.651237782</v>
      </c>
      <c r="G15" s="88">
        <f t="shared" si="3"/>
        <v>8411246.251882432</v>
      </c>
      <c r="H15" s="90">
        <f t="shared" si="4"/>
        <v>293174870.36106342</v>
      </c>
    </row>
    <row r="16" spans="2:13">
      <c r="B16" s="412"/>
      <c r="C16" s="86">
        <v>8</v>
      </c>
      <c r="D16" s="87">
        <f t="shared" si="2"/>
        <v>293174870.36106342</v>
      </c>
      <c r="E16" s="88">
        <f t="shared" si="0"/>
        <v>3518098.4443327612</v>
      </c>
      <c r="F16" s="89">
        <f t="shared" si="1"/>
        <v>12030279.651237782</v>
      </c>
      <c r="G16" s="88">
        <f t="shared" si="3"/>
        <v>8512181.2069050204</v>
      </c>
      <c r="H16" s="90">
        <f t="shared" si="4"/>
        <v>284662689.15415841</v>
      </c>
    </row>
    <row r="17" spans="2:8">
      <c r="B17" s="412"/>
      <c r="C17" s="86">
        <v>9</v>
      </c>
      <c r="D17" s="87">
        <f t="shared" si="2"/>
        <v>284662689.15415841</v>
      </c>
      <c r="E17" s="88">
        <f t="shared" si="0"/>
        <v>3415952.2698499011</v>
      </c>
      <c r="F17" s="89">
        <f t="shared" si="1"/>
        <v>12030279.651237782</v>
      </c>
      <c r="G17" s="88">
        <f t="shared" si="3"/>
        <v>8614327.3813878819</v>
      </c>
      <c r="H17" s="90">
        <f t="shared" si="4"/>
        <v>276048361.77277052</v>
      </c>
    </row>
    <row r="18" spans="2:8">
      <c r="B18" s="412"/>
      <c r="C18" s="86">
        <v>10</v>
      </c>
      <c r="D18" s="87">
        <f t="shared" si="2"/>
        <v>276048361.77277052</v>
      </c>
      <c r="E18" s="88">
        <f t="shared" si="0"/>
        <v>3312580.3412732463</v>
      </c>
      <c r="F18" s="89">
        <f t="shared" si="1"/>
        <v>12030279.651237782</v>
      </c>
      <c r="G18" s="88">
        <f t="shared" si="3"/>
        <v>8717699.3099645358</v>
      </c>
      <c r="H18" s="90">
        <f t="shared" si="4"/>
        <v>267330662.46280599</v>
      </c>
    </row>
    <row r="19" spans="2:8">
      <c r="B19" s="412"/>
      <c r="C19" s="86">
        <v>11</v>
      </c>
      <c r="D19" s="87">
        <f t="shared" si="2"/>
        <v>267330662.46280599</v>
      </c>
      <c r="E19" s="88">
        <f t="shared" si="0"/>
        <v>3207967.9495536718</v>
      </c>
      <c r="F19" s="89">
        <f t="shared" si="1"/>
        <v>12030279.651237782</v>
      </c>
      <c r="G19" s="88">
        <f t="shared" si="3"/>
        <v>8822311.7016841099</v>
      </c>
      <c r="H19" s="90">
        <f t="shared" si="4"/>
        <v>258508350.76112187</v>
      </c>
    </row>
    <row r="20" spans="2:8" ht="17.25" thickBot="1">
      <c r="B20" s="413"/>
      <c r="C20" s="92">
        <v>12</v>
      </c>
      <c r="D20" s="93">
        <f t="shared" si="2"/>
        <v>258508350.76112187</v>
      </c>
      <c r="E20" s="94">
        <f t="shared" si="0"/>
        <v>3102100.2091334625</v>
      </c>
      <c r="F20" s="95">
        <f t="shared" si="1"/>
        <v>12030279.651237782</v>
      </c>
      <c r="G20" s="94">
        <f t="shared" si="3"/>
        <v>8928179.4421043191</v>
      </c>
      <c r="H20" s="96">
        <f t="shared" si="4"/>
        <v>249580171.31901756</v>
      </c>
    </row>
    <row r="21" spans="2:8">
      <c r="B21" s="411">
        <v>2022</v>
      </c>
      <c r="C21" s="81">
        <v>13</v>
      </c>
      <c r="D21" s="82">
        <f t="shared" si="2"/>
        <v>249580171.31901756</v>
      </c>
      <c r="E21" s="83">
        <f t="shared" si="0"/>
        <v>2994962.0558282109</v>
      </c>
      <c r="F21" s="84">
        <f t="shared" si="1"/>
        <v>12030279.651237782</v>
      </c>
      <c r="G21" s="83">
        <f t="shared" si="3"/>
        <v>9035317.5954095721</v>
      </c>
      <c r="H21" s="85">
        <f t="shared" si="4"/>
        <v>240544853.72360799</v>
      </c>
    </row>
    <row r="22" spans="2:8">
      <c r="B22" s="412"/>
      <c r="C22" s="86">
        <v>14</v>
      </c>
      <c r="D22" s="87">
        <f t="shared" si="2"/>
        <v>240544853.72360799</v>
      </c>
      <c r="E22" s="88">
        <f t="shared" si="0"/>
        <v>2886538.244683296</v>
      </c>
      <c r="F22" s="89">
        <f t="shared" si="1"/>
        <v>12030279.651237782</v>
      </c>
      <c r="G22" s="88">
        <f t="shared" si="3"/>
        <v>9143741.4065544866</v>
      </c>
      <c r="H22" s="90">
        <f t="shared" si="4"/>
        <v>231401112.3170535</v>
      </c>
    </row>
    <row r="23" spans="2:8">
      <c r="B23" s="412"/>
      <c r="C23" s="86">
        <v>15</v>
      </c>
      <c r="D23" s="87">
        <f t="shared" si="2"/>
        <v>231401112.3170535</v>
      </c>
      <c r="E23" s="88">
        <f t="shared" si="0"/>
        <v>2776813.3478046418</v>
      </c>
      <c r="F23" s="89">
        <f t="shared" si="1"/>
        <v>12030279.651237782</v>
      </c>
      <c r="G23" s="88">
        <f t="shared" si="3"/>
        <v>9253466.3034331407</v>
      </c>
      <c r="H23" s="90">
        <f t="shared" si="4"/>
        <v>222147646.01362035</v>
      </c>
    </row>
    <row r="24" spans="2:8">
      <c r="B24" s="412"/>
      <c r="C24" s="86">
        <v>16</v>
      </c>
      <c r="D24" s="87">
        <f t="shared" si="2"/>
        <v>222147646.01362035</v>
      </c>
      <c r="E24" s="88">
        <f t="shared" si="0"/>
        <v>2665771.7521634442</v>
      </c>
      <c r="F24" s="89">
        <f t="shared" si="1"/>
        <v>12030279.651237782</v>
      </c>
      <c r="G24" s="88">
        <f t="shared" si="3"/>
        <v>9364507.8990743384</v>
      </c>
      <c r="H24" s="90">
        <f t="shared" si="4"/>
        <v>212783138.114546</v>
      </c>
    </row>
    <row r="25" spans="2:8">
      <c r="B25" s="412"/>
      <c r="C25" s="86">
        <v>17</v>
      </c>
      <c r="D25" s="87">
        <f t="shared" si="2"/>
        <v>212783138.114546</v>
      </c>
      <c r="E25" s="88">
        <f t="shared" si="0"/>
        <v>2553397.657374552</v>
      </c>
      <c r="F25" s="89">
        <f t="shared" si="1"/>
        <v>12030279.651237782</v>
      </c>
      <c r="G25" s="88">
        <f t="shared" si="3"/>
        <v>9476881.9938632306</v>
      </c>
      <c r="H25" s="90">
        <f t="shared" si="4"/>
        <v>203306256.12068278</v>
      </c>
    </row>
    <row r="26" spans="2:8">
      <c r="B26" s="412"/>
      <c r="C26" s="86">
        <v>18</v>
      </c>
      <c r="D26" s="87">
        <f t="shared" si="2"/>
        <v>203306256.12068278</v>
      </c>
      <c r="E26" s="88">
        <f t="shared" si="0"/>
        <v>2439675.0734481933</v>
      </c>
      <c r="F26" s="89">
        <f t="shared" si="1"/>
        <v>12030279.651237782</v>
      </c>
      <c r="G26" s="88">
        <f t="shared" si="3"/>
        <v>9590604.5777895898</v>
      </c>
      <c r="H26" s="90">
        <f t="shared" si="4"/>
        <v>193715651.54289317</v>
      </c>
    </row>
    <row r="27" spans="2:8">
      <c r="B27" s="412"/>
      <c r="C27" s="86">
        <v>19</v>
      </c>
      <c r="D27" s="87">
        <f t="shared" si="2"/>
        <v>193715651.54289317</v>
      </c>
      <c r="E27" s="88">
        <f t="shared" si="0"/>
        <v>2324587.8185147182</v>
      </c>
      <c r="F27" s="89">
        <f t="shared" si="1"/>
        <v>12030279.651237782</v>
      </c>
      <c r="G27" s="88">
        <f t="shared" si="3"/>
        <v>9705691.8327230643</v>
      </c>
      <c r="H27" s="90">
        <f t="shared" si="4"/>
        <v>184009959.71017012</v>
      </c>
    </row>
    <row r="28" spans="2:8">
      <c r="B28" s="412"/>
      <c r="C28" s="86">
        <v>20</v>
      </c>
      <c r="D28" s="87">
        <f t="shared" si="2"/>
        <v>184009959.71017012</v>
      </c>
      <c r="E28" s="88">
        <f t="shared" si="0"/>
        <v>2208119.5165220415</v>
      </c>
      <c r="F28" s="89">
        <f t="shared" si="1"/>
        <v>12030279.651237782</v>
      </c>
      <c r="G28" s="88">
        <f t="shared" si="3"/>
        <v>9822160.1347157396</v>
      </c>
      <c r="H28" s="90">
        <f t="shared" si="4"/>
        <v>174187799.57545438</v>
      </c>
    </row>
    <row r="29" spans="2:8">
      <c r="B29" s="412"/>
      <c r="C29" s="86">
        <v>21</v>
      </c>
      <c r="D29" s="87">
        <f t="shared" si="2"/>
        <v>174187799.57545438</v>
      </c>
      <c r="E29" s="88">
        <f t="shared" si="0"/>
        <v>2090253.5949054526</v>
      </c>
      <c r="F29" s="89">
        <f t="shared" si="1"/>
        <v>12030279.651237782</v>
      </c>
      <c r="G29" s="88">
        <f t="shared" si="3"/>
        <v>9940026.0563323293</v>
      </c>
      <c r="H29" s="90">
        <f t="shared" si="4"/>
        <v>164247773.51912206</v>
      </c>
    </row>
    <row r="30" spans="2:8">
      <c r="B30" s="412"/>
      <c r="C30" s="86">
        <v>22</v>
      </c>
      <c r="D30" s="87">
        <f t="shared" si="2"/>
        <v>164247773.51912206</v>
      </c>
      <c r="E30" s="88">
        <f t="shared" si="0"/>
        <v>1970973.2822294647</v>
      </c>
      <c r="F30" s="89">
        <f t="shared" si="1"/>
        <v>12030279.651237782</v>
      </c>
      <c r="G30" s="88">
        <f t="shared" si="3"/>
        <v>10059306.369008318</v>
      </c>
      <c r="H30" s="90">
        <f t="shared" si="4"/>
        <v>154188467.15011376</v>
      </c>
    </row>
    <row r="31" spans="2:8">
      <c r="B31" s="412"/>
      <c r="C31" s="86">
        <v>23</v>
      </c>
      <c r="D31" s="87">
        <f t="shared" si="2"/>
        <v>154188467.15011376</v>
      </c>
      <c r="E31" s="88">
        <f t="shared" si="0"/>
        <v>1850261.6058013651</v>
      </c>
      <c r="F31" s="89">
        <f t="shared" si="1"/>
        <v>12030279.651237782</v>
      </c>
      <c r="G31" s="88">
        <f t="shared" si="3"/>
        <v>10180018.045436418</v>
      </c>
      <c r="H31" s="90">
        <f t="shared" si="4"/>
        <v>144008449.10467735</v>
      </c>
    </row>
    <row r="32" spans="2:8" ht="17.25" thickBot="1">
      <c r="B32" s="413"/>
      <c r="C32" s="92">
        <v>24</v>
      </c>
      <c r="D32" s="93">
        <f t="shared" si="2"/>
        <v>144008449.10467735</v>
      </c>
      <c r="E32" s="94">
        <f t="shared" si="0"/>
        <v>1728101.3892561283</v>
      </c>
      <c r="F32" s="95">
        <f t="shared" si="1"/>
        <v>12030279.651237782</v>
      </c>
      <c r="G32" s="94">
        <f t="shared" si="3"/>
        <v>10302178.261981653</v>
      </c>
      <c r="H32" s="96">
        <f t="shared" si="4"/>
        <v>133706270.8426957</v>
      </c>
    </row>
    <row r="33" spans="2:8">
      <c r="B33" s="414">
        <v>2023</v>
      </c>
      <c r="C33" s="97">
        <v>25</v>
      </c>
      <c r="D33" s="82">
        <f t="shared" si="2"/>
        <v>133706270.8426957</v>
      </c>
      <c r="E33" s="83">
        <f t="shared" si="0"/>
        <v>1604475.2501123485</v>
      </c>
      <c r="F33" s="84">
        <f t="shared" si="1"/>
        <v>12030279.651237782</v>
      </c>
      <c r="G33" s="83">
        <f t="shared" si="3"/>
        <v>10425804.401125433</v>
      </c>
      <c r="H33" s="85">
        <f t="shared" si="4"/>
        <v>123280466.44157027</v>
      </c>
    </row>
    <row r="34" spans="2:8">
      <c r="B34" s="415"/>
      <c r="C34" s="98">
        <v>26</v>
      </c>
      <c r="D34" s="87">
        <f t="shared" si="2"/>
        <v>123280466.44157027</v>
      </c>
      <c r="E34" s="88">
        <f t="shared" si="0"/>
        <v>1479365.5972988433</v>
      </c>
      <c r="F34" s="89">
        <f t="shared" si="1"/>
        <v>12030279.651237782</v>
      </c>
      <c r="G34" s="88">
        <f t="shared" si="3"/>
        <v>10550914.053938938</v>
      </c>
      <c r="H34" s="90">
        <f t="shared" si="4"/>
        <v>112729552.38763133</v>
      </c>
    </row>
    <row r="35" spans="2:8">
      <c r="B35" s="415"/>
      <c r="C35" s="98">
        <v>27</v>
      </c>
      <c r="D35" s="87">
        <f t="shared" si="2"/>
        <v>112729552.38763133</v>
      </c>
      <c r="E35" s="88">
        <f t="shared" si="0"/>
        <v>1352754.6286515759</v>
      </c>
      <c r="F35" s="89">
        <f t="shared" si="1"/>
        <v>12030279.651237782</v>
      </c>
      <c r="G35" s="88">
        <f t="shared" si="3"/>
        <v>10677525.022586206</v>
      </c>
      <c r="H35" s="90">
        <f t="shared" si="4"/>
        <v>102052027.36504512</v>
      </c>
    </row>
    <row r="36" spans="2:8">
      <c r="B36" s="415"/>
      <c r="C36" s="98">
        <v>28</v>
      </c>
      <c r="D36" s="87">
        <f t="shared" si="2"/>
        <v>102052027.36504512</v>
      </c>
      <c r="E36" s="88">
        <f t="shared" si="0"/>
        <v>1224624.3283805414</v>
      </c>
      <c r="F36" s="89">
        <f t="shared" si="1"/>
        <v>12030279.651237782</v>
      </c>
      <c r="G36" s="88">
        <f t="shared" si="3"/>
        <v>10805655.32285724</v>
      </c>
      <c r="H36" s="90">
        <f t="shared" si="4"/>
        <v>91246372.04218787</v>
      </c>
    </row>
    <row r="37" spans="2:8">
      <c r="B37" s="415"/>
      <c r="C37" s="98">
        <v>29</v>
      </c>
      <c r="D37" s="87">
        <f t="shared" si="2"/>
        <v>91246372.04218787</v>
      </c>
      <c r="E37" s="88">
        <f t="shared" si="0"/>
        <v>1094956.4645062545</v>
      </c>
      <c r="F37" s="89">
        <f t="shared" si="1"/>
        <v>12030279.651237782</v>
      </c>
      <c r="G37" s="88">
        <f t="shared" si="3"/>
        <v>10935323.186731528</v>
      </c>
      <c r="H37" s="90">
        <f t="shared" si="4"/>
        <v>80311048.855456337</v>
      </c>
    </row>
    <row r="38" spans="2:8">
      <c r="B38" s="415"/>
      <c r="C38" s="98">
        <v>30</v>
      </c>
      <c r="D38" s="87">
        <f t="shared" si="2"/>
        <v>80311048.855456337</v>
      </c>
      <c r="E38" s="88">
        <f t="shared" si="0"/>
        <v>963732.58626547607</v>
      </c>
      <c r="F38" s="89">
        <f t="shared" si="1"/>
        <v>12030279.651237782</v>
      </c>
      <c r="G38" s="88">
        <f t="shared" si="3"/>
        <v>11066547.064972306</v>
      </c>
      <c r="H38" s="90">
        <f t="shared" si="4"/>
        <v>69244501.790484026</v>
      </c>
    </row>
    <row r="39" spans="2:8">
      <c r="B39" s="415"/>
      <c r="C39" s="98">
        <v>31</v>
      </c>
      <c r="D39" s="87">
        <f t="shared" si="2"/>
        <v>69244501.790484026</v>
      </c>
      <c r="E39" s="88">
        <f t="shared" si="0"/>
        <v>830934.02148580831</v>
      </c>
      <c r="F39" s="89">
        <f t="shared" si="1"/>
        <v>12030279.651237782</v>
      </c>
      <c r="G39" s="88">
        <f t="shared" si="3"/>
        <v>11199345.629751973</v>
      </c>
      <c r="H39" s="90">
        <f t="shared" si="4"/>
        <v>58045156.160732053</v>
      </c>
    </row>
    <row r="40" spans="2:8">
      <c r="B40" s="415"/>
      <c r="C40" s="98">
        <v>32</v>
      </c>
      <c r="D40" s="87">
        <f t="shared" si="2"/>
        <v>58045156.160732053</v>
      </c>
      <c r="E40" s="88">
        <f t="shared" si="0"/>
        <v>696541.87392878463</v>
      </c>
      <c r="F40" s="89">
        <f t="shared" si="1"/>
        <v>12030279.651237782</v>
      </c>
      <c r="G40" s="88">
        <f t="shared" si="3"/>
        <v>11333737.777308997</v>
      </c>
      <c r="H40" s="90">
        <f t="shared" si="4"/>
        <v>46711418.38342306</v>
      </c>
    </row>
    <row r="41" spans="2:8">
      <c r="B41" s="415"/>
      <c r="C41" s="98">
        <v>33</v>
      </c>
      <c r="D41" s="87">
        <f t="shared" si="2"/>
        <v>46711418.38342306</v>
      </c>
      <c r="E41" s="88">
        <f t="shared" si="0"/>
        <v>560537.02060107677</v>
      </c>
      <c r="F41" s="89">
        <f t="shared" si="1"/>
        <v>12030279.651237782</v>
      </c>
      <c r="G41" s="88">
        <f t="shared" si="3"/>
        <v>11469742.630636705</v>
      </c>
      <c r="H41" s="90">
        <f t="shared" si="4"/>
        <v>35241675.752786353</v>
      </c>
    </row>
    <row r="42" spans="2:8">
      <c r="B42" s="415"/>
      <c r="C42" s="98">
        <v>34</v>
      </c>
      <c r="D42" s="87">
        <f t="shared" si="2"/>
        <v>35241675.752786353</v>
      </c>
      <c r="E42" s="88">
        <f t="shared" si="0"/>
        <v>422900.10903343622</v>
      </c>
      <c r="F42" s="89">
        <f t="shared" si="1"/>
        <v>12030279.651237782</v>
      </c>
      <c r="G42" s="88">
        <f t="shared" si="3"/>
        <v>11607379.542204347</v>
      </c>
      <c r="H42" s="90">
        <f t="shared" si="4"/>
        <v>23634296.210582007</v>
      </c>
    </row>
    <row r="43" spans="2:8">
      <c r="B43" s="415"/>
      <c r="C43" s="98">
        <v>35</v>
      </c>
      <c r="D43" s="87">
        <f t="shared" si="2"/>
        <v>23634296.210582007</v>
      </c>
      <c r="E43" s="88">
        <f t="shared" si="0"/>
        <v>283611.55452698411</v>
      </c>
      <c r="F43" s="89">
        <f t="shared" si="1"/>
        <v>12030279.651237782</v>
      </c>
      <c r="G43" s="88">
        <f t="shared" si="3"/>
        <v>11746668.096710797</v>
      </c>
      <c r="H43" s="90">
        <f t="shared" si="4"/>
        <v>11887628.113871209</v>
      </c>
    </row>
    <row r="44" spans="2:8" ht="17.25" thickBot="1">
      <c r="B44" s="416"/>
      <c r="C44" s="99">
        <v>36</v>
      </c>
      <c r="D44" s="93">
        <f t="shared" si="2"/>
        <v>11887628.113871209</v>
      </c>
      <c r="E44" s="94">
        <f t="shared" si="0"/>
        <v>142651.53736645452</v>
      </c>
      <c r="F44" s="95">
        <f t="shared" si="1"/>
        <v>12030279.651237782</v>
      </c>
      <c r="G44" s="94">
        <f t="shared" si="3"/>
        <v>11887628.113871327</v>
      </c>
      <c r="H44" s="96">
        <f t="shared" si="4"/>
        <v>-1.1734664440155029E-7</v>
      </c>
    </row>
  </sheetData>
  <mergeCells count="12">
    <mergeCell ref="B4:C4"/>
    <mergeCell ref="D4:E4"/>
    <mergeCell ref="B5:C5"/>
    <mergeCell ref="D5:E5"/>
    <mergeCell ref="B2:E2"/>
    <mergeCell ref="B3:C3"/>
    <mergeCell ref="D3:E3"/>
    <mergeCell ref="B21:B32"/>
    <mergeCell ref="B33:B44"/>
    <mergeCell ref="B6:C6"/>
    <mergeCell ref="D6:E6"/>
    <mergeCell ref="B9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PRESUPUESTO NIIF </vt:lpstr>
      <vt:lpstr>VENTAS Y COMPRAS</vt:lpstr>
      <vt:lpstr>GASTOS</vt:lpstr>
      <vt:lpstr>NOMINA ADMINISTRADORES</vt:lpstr>
      <vt:lpstr>NOMINA VENDEDORES</vt:lpstr>
      <vt:lpstr>NOMINA GERENTE</vt:lpstr>
      <vt:lpstr>PRESTAMO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Morales</dc:creator>
  <cp:lastModifiedBy>omar noriega</cp:lastModifiedBy>
  <dcterms:created xsi:type="dcterms:W3CDTF">2021-02-06T23:03:00Z</dcterms:created>
  <dcterms:modified xsi:type="dcterms:W3CDTF">2021-02-22T04:06:40Z</dcterms:modified>
</cp:coreProperties>
</file>